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Warren Kowalenko\Desktop\Blackstone Fix &amp; Flip Docs\Pro Forma Income Statement\"/>
    </mc:Choice>
  </mc:AlternateContent>
  <xr:revisionPtr revIDLastSave="0" documentId="13_ncr:1_{CAC5291C-9410-452D-9927-9552C1656C97}" xr6:coauthVersionLast="47" xr6:coauthVersionMax="47" xr10:uidLastSave="{00000000-0000-0000-0000-000000000000}"/>
  <workbookProtection workbookAlgorithmName="SHA-512" workbookHashValue="D2Gn7i85fnisykoSJ5cqEKTQiZdPgzE8uniSB7sIbzE0Uud5goLdfbhY9qZCEl2L/SizU1djBFSNm7jCvhBABw==" workbookSaltValue="DsBzR0Q0irSJsA7A57hrnA==" workbookSpinCount="100000" lockStructure="1"/>
  <bookViews>
    <workbookView xWindow="-120" yWindow="-120" windowWidth="20730" windowHeight="11160" tabRatio="789" activeTab="2" xr2:uid="{00000000-000D-0000-FFFF-FFFF00000000}"/>
  </bookViews>
  <sheets>
    <sheet name="Calculator" sheetId="25" r:id="rId1"/>
    <sheet name="Waterfall" sheetId="26" r:id="rId2"/>
    <sheet name="Yields Table" sheetId="27" r:id="rId3"/>
    <sheet name="Variables" sheetId="3" state="veryHidden" r:id="rId4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Gross_Profit">#REF!</definedName>
    <definedName name="IntroPrintArea" hidden="1">#REF!</definedName>
    <definedName name="Inventory_Avail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#REF!</definedName>
    <definedName name="Net_Sales">#REF!</definedName>
    <definedName name="Op_Income">#REF!</definedName>
    <definedName name="Operating_Income">#REF!</definedName>
    <definedName name="Other_Income">#REF!</definedName>
    <definedName name="_xlnm.Print_Area" localSheetId="1">Waterfall!$A$1:$J$52</definedName>
    <definedName name="TemplatePrintArea">#REF!</definedName>
    <definedName name="Total_Expens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4" i="25" l="1"/>
  <c r="I133" i="25"/>
  <c r="I132" i="25"/>
  <c r="W26" i="27"/>
  <c r="V26" i="27"/>
  <c r="U26" i="27"/>
  <c r="T26" i="27"/>
  <c r="S26" i="27"/>
  <c r="R26" i="27"/>
  <c r="P26" i="27"/>
  <c r="O26" i="27"/>
  <c r="N26" i="27"/>
  <c r="M26" i="27"/>
  <c r="L26" i="27"/>
  <c r="K26" i="27"/>
  <c r="I26" i="27"/>
  <c r="H26" i="27"/>
  <c r="G26" i="27"/>
  <c r="F26" i="27"/>
  <c r="E26" i="27"/>
  <c r="D26" i="27"/>
  <c r="W25" i="27"/>
  <c r="V25" i="27"/>
  <c r="U25" i="27"/>
  <c r="T25" i="27"/>
  <c r="S25" i="27"/>
  <c r="R25" i="27"/>
  <c r="P25" i="27"/>
  <c r="O25" i="27"/>
  <c r="N25" i="27"/>
  <c r="M25" i="27"/>
  <c r="L25" i="27"/>
  <c r="K25" i="27"/>
  <c r="I25" i="27"/>
  <c r="H25" i="27"/>
  <c r="G25" i="27"/>
  <c r="F25" i="27"/>
  <c r="E25" i="27"/>
  <c r="D25" i="27"/>
  <c r="W24" i="27"/>
  <c r="V24" i="27"/>
  <c r="U24" i="27"/>
  <c r="T24" i="27"/>
  <c r="S24" i="27"/>
  <c r="R24" i="27"/>
  <c r="P24" i="27"/>
  <c r="O24" i="27"/>
  <c r="N24" i="27"/>
  <c r="M24" i="27"/>
  <c r="L24" i="27"/>
  <c r="K24" i="27"/>
  <c r="I24" i="27"/>
  <c r="H24" i="27"/>
  <c r="G24" i="27"/>
  <c r="F24" i="27"/>
  <c r="E24" i="27"/>
  <c r="D24" i="27"/>
  <c r="W23" i="27"/>
  <c r="V23" i="27"/>
  <c r="U23" i="27"/>
  <c r="T23" i="27"/>
  <c r="S23" i="27"/>
  <c r="R23" i="27"/>
  <c r="P23" i="27"/>
  <c r="O23" i="27"/>
  <c r="N23" i="27"/>
  <c r="M23" i="27"/>
  <c r="L23" i="27"/>
  <c r="K23" i="27"/>
  <c r="I23" i="27"/>
  <c r="H23" i="27"/>
  <c r="G23" i="27"/>
  <c r="F23" i="27"/>
  <c r="E23" i="27"/>
  <c r="D23" i="27"/>
  <c r="W22" i="27"/>
  <c r="V22" i="27"/>
  <c r="U22" i="27"/>
  <c r="T22" i="27"/>
  <c r="S22" i="27"/>
  <c r="R22" i="27"/>
  <c r="P22" i="27"/>
  <c r="O22" i="27"/>
  <c r="N22" i="27"/>
  <c r="M22" i="27"/>
  <c r="L22" i="27"/>
  <c r="K22" i="27"/>
  <c r="I22" i="27"/>
  <c r="H22" i="27"/>
  <c r="G22" i="27"/>
  <c r="F22" i="27"/>
  <c r="E22" i="27"/>
  <c r="D22" i="27"/>
  <c r="W21" i="27"/>
  <c r="V21" i="27"/>
  <c r="U21" i="27"/>
  <c r="T21" i="27"/>
  <c r="S21" i="27"/>
  <c r="R21" i="27"/>
  <c r="P21" i="27"/>
  <c r="O21" i="27"/>
  <c r="N21" i="27"/>
  <c r="M21" i="27"/>
  <c r="L21" i="27"/>
  <c r="K21" i="27"/>
  <c r="I21" i="27"/>
  <c r="H21" i="27"/>
  <c r="G21" i="27"/>
  <c r="F21" i="27"/>
  <c r="E21" i="27"/>
  <c r="D21" i="27"/>
  <c r="W20" i="27"/>
  <c r="V20" i="27"/>
  <c r="U20" i="27"/>
  <c r="T20" i="27"/>
  <c r="S20" i="27"/>
  <c r="R20" i="27"/>
  <c r="P20" i="27"/>
  <c r="O20" i="27"/>
  <c r="N20" i="27"/>
  <c r="M20" i="27"/>
  <c r="L20" i="27"/>
  <c r="K20" i="27"/>
  <c r="I20" i="27"/>
  <c r="H20" i="27"/>
  <c r="G20" i="27"/>
  <c r="F20" i="27"/>
  <c r="E20" i="27"/>
  <c r="D20" i="27"/>
  <c r="W19" i="27"/>
  <c r="V19" i="27"/>
  <c r="U19" i="27"/>
  <c r="T19" i="27"/>
  <c r="S19" i="27"/>
  <c r="R19" i="27"/>
  <c r="P19" i="27"/>
  <c r="O19" i="27"/>
  <c r="N19" i="27"/>
  <c r="M19" i="27"/>
  <c r="L19" i="27"/>
  <c r="K19" i="27"/>
  <c r="I19" i="27"/>
  <c r="H19" i="27"/>
  <c r="G19" i="27"/>
  <c r="F19" i="27"/>
  <c r="E19" i="27"/>
  <c r="D19" i="27"/>
  <c r="W18" i="27"/>
  <c r="V18" i="27"/>
  <c r="U18" i="27"/>
  <c r="T18" i="27"/>
  <c r="S18" i="27"/>
  <c r="R18" i="27"/>
  <c r="P18" i="27"/>
  <c r="O18" i="27"/>
  <c r="N18" i="27"/>
  <c r="M18" i="27"/>
  <c r="L18" i="27"/>
  <c r="K18" i="27"/>
  <c r="I18" i="27"/>
  <c r="H18" i="27"/>
  <c r="G18" i="27"/>
  <c r="F18" i="27"/>
  <c r="E18" i="27"/>
  <c r="D18" i="27"/>
  <c r="W17" i="27"/>
  <c r="V17" i="27"/>
  <c r="U17" i="27"/>
  <c r="T17" i="27"/>
  <c r="S17" i="27"/>
  <c r="R17" i="27"/>
  <c r="P17" i="27"/>
  <c r="O17" i="27"/>
  <c r="N17" i="27"/>
  <c r="M17" i="27"/>
  <c r="L17" i="27"/>
  <c r="K17" i="27"/>
  <c r="I17" i="27"/>
  <c r="H17" i="27"/>
  <c r="G17" i="27"/>
  <c r="F17" i="27"/>
  <c r="E17" i="27"/>
  <c r="D17" i="27"/>
  <c r="W16" i="27"/>
  <c r="V16" i="27"/>
  <c r="U16" i="27"/>
  <c r="T16" i="27"/>
  <c r="S16" i="27"/>
  <c r="R16" i="27"/>
  <c r="P16" i="27"/>
  <c r="O16" i="27"/>
  <c r="N16" i="27"/>
  <c r="M16" i="27"/>
  <c r="L16" i="27"/>
  <c r="K16" i="27"/>
  <c r="I16" i="27"/>
  <c r="H16" i="27"/>
  <c r="G16" i="27"/>
  <c r="F16" i="27"/>
  <c r="E16" i="27"/>
  <c r="D16" i="27"/>
  <c r="W15" i="27"/>
  <c r="V15" i="27"/>
  <c r="U15" i="27"/>
  <c r="T15" i="27"/>
  <c r="S15" i="27"/>
  <c r="R15" i="27"/>
  <c r="P15" i="27"/>
  <c r="O15" i="27"/>
  <c r="N15" i="27"/>
  <c r="M15" i="27"/>
  <c r="L15" i="27"/>
  <c r="K15" i="27"/>
  <c r="I15" i="27"/>
  <c r="H15" i="27"/>
  <c r="G15" i="27"/>
  <c r="F15" i="27"/>
  <c r="E15" i="27"/>
  <c r="D15" i="27"/>
  <c r="W14" i="27"/>
  <c r="V14" i="27"/>
  <c r="U14" i="27"/>
  <c r="T14" i="27"/>
  <c r="S14" i="27"/>
  <c r="R14" i="27"/>
  <c r="P14" i="27"/>
  <c r="O14" i="27"/>
  <c r="N14" i="27"/>
  <c r="M14" i="27"/>
  <c r="L14" i="27"/>
  <c r="K14" i="27"/>
  <c r="I14" i="27"/>
  <c r="H14" i="27"/>
  <c r="G14" i="27"/>
  <c r="F14" i="27"/>
  <c r="E14" i="27"/>
  <c r="D14" i="27"/>
  <c r="W13" i="27"/>
  <c r="V13" i="27"/>
  <c r="U13" i="27"/>
  <c r="T13" i="27"/>
  <c r="S13" i="27"/>
  <c r="R13" i="27"/>
  <c r="P13" i="27"/>
  <c r="O13" i="27"/>
  <c r="N13" i="27"/>
  <c r="M13" i="27"/>
  <c r="L13" i="27"/>
  <c r="K13" i="27"/>
  <c r="I13" i="27"/>
  <c r="H13" i="27"/>
  <c r="G13" i="27"/>
  <c r="F13" i="27"/>
  <c r="E13" i="27"/>
  <c r="D13" i="27"/>
  <c r="W12" i="27"/>
  <c r="V12" i="27"/>
  <c r="U12" i="27"/>
  <c r="T12" i="27"/>
  <c r="S12" i="27"/>
  <c r="R12" i="27"/>
  <c r="P12" i="27"/>
  <c r="O12" i="27"/>
  <c r="N12" i="27"/>
  <c r="M12" i="27"/>
  <c r="L12" i="27"/>
  <c r="K12" i="27"/>
  <c r="I12" i="27"/>
  <c r="H12" i="27"/>
  <c r="G12" i="27"/>
  <c r="F12" i="27"/>
  <c r="E12" i="27"/>
  <c r="D12" i="27"/>
  <c r="W11" i="27"/>
  <c r="V11" i="27"/>
  <c r="U11" i="27"/>
  <c r="T11" i="27"/>
  <c r="S11" i="27"/>
  <c r="R11" i="27"/>
  <c r="P11" i="27"/>
  <c r="O11" i="27"/>
  <c r="N11" i="27"/>
  <c r="M11" i="27"/>
  <c r="L11" i="27"/>
  <c r="K11" i="27"/>
  <c r="I11" i="27"/>
  <c r="H11" i="27"/>
  <c r="G11" i="27"/>
  <c r="F11" i="27"/>
  <c r="E11" i="27"/>
  <c r="D11" i="27"/>
  <c r="W10" i="27"/>
  <c r="V10" i="27"/>
  <c r="U10" i="27"/>
  <c r="T10" i="27"/>
  <c r="S10" i="27"/>
  <c r="R10" i="27"/>
  <c r="P10" i="27"/>
  <c r="O10" i="27"/>
  <c r="N10" i="27"/>
  <c r="M10" i="27"/>
  <c r="L10" i="27"/>
  <c r="K10" i="27"/>
  <c r="I10" i="27"/>
  <c r="H10" i="27"/>
  <c r="G10" i="27"/>
  <c r="F10" i="27"/>
  <c r="E10" i="27"/>
  <c r="D10" i="27"/>
  <c r="I147" i="25" l="1"/>
  <c r="I146" i="25"/>
  <c r="I145" i="25"/>
  <c r="K22" i="25"/>
  <c r="L92" i="25"/>
  <c r="V92" i="25" s="1"/>
  <c r="L91" i="25"/>
  <c r="V91" i="25" s="1"/>
  <c r="L90" i="25"/>
  <c r="V90" i="25" s="1"/>
  <c r="I92" i="25"/>
  <c r="I91" i="25"/>
  <c r="I90" i="25"/>
  <c r="L102" i="25"/>
  <c r="L101" i="25"/>
  <c r="L100" i="25"/>
  <c r="I102" i="25"/>
  <c r="I101" i="25"/>
  <c r="I100" i="25"/>
  <c r="L87" i="25"/>
  <c r="L86" i="25"/>
  <c r="L85" i="25"/>
  <c r="I87" i="25"/>
  <c r="I86" i="25"/>
  <c r="I85" i="25"/>
  <c r="J54" i="25"/>
  <c r="J53" i="25"/>
  <c r="J52" i="25"/>
  <c r="J46" i="25" l="1"/>
  <c r="J45" i="25"/>
  <c r="J44" i="25"/>
  <c r="J43" i="25"/>
  <c r="J42" i="25"/>
  <c r="J41" i="25"/>
  <c r="D69" i="25"/>
  <c r="I107" i="25"/>
  <c r="I106" i="25"/>
  <c r="I105" i="25"/>
  <c r="L107" i="25"/>
  <c r="L106" i="25"/>
  <c r="L105" i="25"/>
  <c r="E78" i="25"/>
  <c r="L54" i="25"/>
  <c r="L53" i="25"/>
  <c r="L52" i="25"/>
  <c r="D39" i="25"/>
  <c r="G15" i="25"/>
  <c r="G22" i="25" s="1"/>
  <c r="D22" i="25" s="1"/>
  <c r="G21" i="25" l="1"/>
  <c r="D21" i="25" s="1"/>
  <c r="D26" i="25" s="1"/>
  <c r="E28" i="25" s="1"/>
  <c r="D15" i="25"/>
  <c r="C5" i="26" l="1"/>
  <c r="G134" i="25"/>
  <c r="G133" i="25"/>
  <c r="G132" i="25"/>
  <c r="E17" i="25"/>
  <c r="E30" i="25" s="1"/>
  <c r="C6" i="26" s="1"/>
  <c r="C4" i="26"/>
  <c r="G145" i="25"/>
  <c r="G147" i="25"/>
  <c r="G146" i="25"/>
  <c r="G101" i="25"/>
  <c r="G107" i="25"/>
  <c r="N107" i="25" s="1"/>
  <c r="G102" i="25"/>
  <c r="G105" i="25"/>
  <c r="N105" i="25" s="1"/>
  <c r="G100" i="25"/>
  <c r="G106" i="25"/>
  <c r="N106" i="25" s="1"/>
  <c r="G90" i="25"/>
  <c r="N90" i="25" s="1"/>
  <c r="G92" i="25"/>
  <c r="N92" i="25" s="1"/>
  <c r="P92" i="25" s="1"/>
  <c r="G91" i="25"/>
  <c r="N91" i="25" s="1"/>
  <c r="P91" i="25" s="1"/>
  <c r="G87" i="25"/>
  <c r="N87" i="25" s="1"/>
  <c r="P87" i="25" s="1"/>
  <c r="G86" i="25"/>
  <c r="N86" i="25" s="1"/>
  <c r="P86" i="25" s="1"/>
  <c r="G85" i="25"/>
  <c r="N85" i="25" s="1"/>
  <c r="G46" i="25"/>
  <c r="D46" i="25" s="1"/>
  <c r="G44" i="25"/>
  <c r="D44" i="25" s="1"/>
  <c r="G43" i="25"/>
  <c r="D43" i="25" s="1"/>
  <c r="G42" i="25"/>
  <c r="D42" i="25" s="1"/>
  <c r="G41" i="25"/>
  <c r="D41" i="25" s="1"/>
  <c r="G45" i="25"/>
  <c r="D45" i="25" s="1"/>
  <c r="G54" i="25"/>
  <c r="D54" i="25" s="1"/>
  <c r="G53" i="25"/>
  <c r="D53" i="25" s="1"/>
  <c r="G52" i="25"/>
  <c r="D52" i="25" s="1"/>
  <c r="G40" i="25" l="1"/>
  <c r="H40" i="25" s="1"/>
  <c r="D40" i="25" s="1"/>
  <c r="G39" i="25"/>
  <c r="D70" i="25"/>
  <c r="E71" i="25" s="1"/>
  <c r="N134" i="25"/>
  <c r="N132" i="25"/>
  <c r="N133" i="25"/>
  <c r="P105" i="25"/>
  <c r="P107" i="25"/>
  <c r="P100" i="25"/>
  <c r="P101" i="25"/>
  <c r="P106" i="25"/>
  <c r="P102" i="25"/>
  <c r="P85" i="25"/>
  <c r="N88" i="25"/>
  <c r="P90" i="25"/>
  <c r="N93" i="25"/>
  <c r="N135" i="25" l="1"/>
  <c r="E73" i="25"/>
  <c r="C7" i="26"/>
  <c r="N103" i="25"/>
  <c r="N108" i="25"/>
  <c r="E80" i="25" l="1"/>
  <c r="C8" i="26"/>
  <c r="C9" i="26" s="1"/>
  <c r="E82" i="25" l="1"/>
  <c r="O85" i="25"/>
  <c r="E81" i="25"/>
  <c r="O107" i="25" l="1"/>
  <c r="Q107" i="25" s="1"/>
  <c r="O106" i="25" s="1"/>
  <c r="R85" i="25"/>
  <c r="S85" i="25" s="1"/>
  <c r="D85" i="25" s="1"/>
  <c r="D13" i="26" s="1"/>
  <c r="Q85" i="25"/>
  <c r="O86" i="25" s="1"/>
  <c r="R107" i="25" l="1"/>
  <c r="S107" i="25" s="1"/>
  <c r="D107" i="25" s="1"/>
  <c r="O134" i="25" s="1"/>
  <c r="P134" i="25" s="1"/>
  <c r="Q106" i="25"/>
  <c r="O105" i="25" s="1"/>
  <c r="R106" i="25"/>
  <c r="S106" i="25" s="1"/>
  <c r="D106" i="25" s="1"/>
  <c r="O133" i="25" s="1"/>
  <c r="P133" i="25" s="1"/>
  <c r="R86" i="25"/>
  <c r="S86" i="25" s="1"/>
  <c r="D86" i="25" s="1"/>
  <c r="E17" i="26" s="1"/>
  <c r="Q86" i="25"/>
  <c r="O87" i="25" s="1"/>
  <c r="Q87" i="25" l="1"/>
  <c r="O90" i="25" s="1"/>
  <c r="R87" i="25"/>
  <c r="S87" i="25" s="1"/>
  <c r="D87" i="25" s="1"/>
  <c r="Q105" i="25"/>
  <c r="O102" i="25" s="1"/>
  <c r="R105" i="25"/>
  <c r="S105" i="25" s="1"/>
  <c r="D105" i="25" s="1"/>
  <c r="O132" i="25" s="1"/>
  <c r="P132" i="25" s="1"/>
  <c r="E88" i="25" l="1"/>
  <c r="F21" i="26"/>
  <c r="E108" i="25"/>
  <c r="R102" i="25"/>
  <c r="S102" i="25" s="1"/>
  <c r="D102" i="25" s="1"/>
  <c r="Q102" i="25"/>
  <c r="O101" i="25" s="1"/>
  <c r="R90" i="25"/>
  <c r="S90" i="25" s="1"/>
  <c r="D90" i="25" s="1"/>
  <c r="G25" i="26" s="1"/>
  <c r="Q90" i="25"/>
  <c r="O91" i="25" s="1"/>
  <c r="R101" i="25" l="1"/>
  <c r="S101" i="25" s="1"/>
  <c r="D101" i="25" s="1"/>
  <c r="Q101" i="25"/>
  <c r="O100" i="25" s="1"/>
  <c r="Q91" i="25"/>
  <c r="O92" i="25" s="1"/>
  <c r="R91" i="25"/>
  <c r="S91" i="25" s="1"/>
  <c r="D91" i="25" s="1"/>
  <c r="Q92" i="25" l="1"/>
  <c r="R92" i="25"/>
  <c r="S92" i="25" s="1"/>
  <c r="D92" i="25" s="1"/>
  <c r="Q100" i="25"/>
  <c r="R100" i="25"/>
  <c r="S100" i="25" s="1"/>
  <c r="D100" i="25" s="1"/>
  <c r="E103" i="25" s="1"/>
  <c r="E110" i="25" s="1"/>
  <c r="H29" i="26"/>
  <c r="T127" i="25" l="1"/>
  <c r="G137" i="25"/>
  <c r="G129" i="25"/>
  <c r="G139" i="25"/>
  <c r="G126" i="25"/>
  <c r="N126" i="25" s="1"/>
  <c r="P126" i="25" s="1"/>
  <c r="G127" i="25"/>
  <c r="N127" i="25" s="1"/>
  <c r="G128" i="25"/>
  <c r="N128" i="25" s="1"/>
  <c r="P128" i="25" s="1"/>
  <c r="G138" i="25"/>
  <c r="T126" i="25"/>
  <c r="E93" i="25"/>
  <c r="I33" i="26"/>
  <c r="T128" i="25"/>
  <c r="O128" i="25" s="1"/>
  <c r="T92" i="25" l="1"/>
  <c r="U92" i="25" s="1"/>
  <c r="W92" i="25" s="1"/>
  <c r="Y92" i="25" s="1"/>
  <c r="E95" i="25"/>
  <c r="E97" i="25" s="1"/>
  <c r="P127" i="25"/>
  <c r="T90" i="25"/>
  <c r="U90" i="25" s="1"/>
  <c r="W90" i="25" s="1"/>
  <c r="Y93" i="25"/>
  <c r="T91" i="25"/>
  <c r="U91" i="25" s="1"/>
  <c r="W91" i="25" s="1"/>
  <c r="Q128" i="25"/>
  <c r="O127" i="25" s="1"/>
  <c r="N129" i="25"/>
  <c r="R128" i="25"/>
  <c r="S128" i="25" s="1"/>
  <c r="X92" i="25" l="1"/>
  <c r="D128" i="25"/>
  <c r="N147" i="25" s="1"/>
  <c r="Q127" i="25"/>
  <c r="O126" i="25" s="1"/>
  <c r="Q126" i="25" s="1"/>
  <c r="X90" i="25"/>
  <c r="Y90" i="25"/>
  <c r="X91" i="25"/>
  <c r="Y91" i="25"/>
  <c r="G150" i="25"/>
  <c r="D150" i="25" s="1"/>
  <c r="D139" i="25"/>
  <c r="G114" i="25"/>
  <c r="D114" i="25" s="1"/>
  <c r="E45" i="26" s="1"/>
  <c r="G118" i="25"/>
  <c r="D118" i="25" s="1"/>
  <c r="G152" i="25"/>
  <c r="D152" i="25" s="1"/>
  <c r="D137" i="25"/>
  <c r="G120" i="25"/>
  <c r="D120" i="25" s="1"/>
  <c r="G151" i="25"/>
  <c r="D151" i="25" s="1"/>
  <c r="G113" i="25"/>
  <c r="D113" i="25" s="1"/>
  <c r="C45" i="26" s="1"/>
  <c r="G115" i="25"/>
  <c r="D115" i="25" s="1"/>
  <c r="G45" i="26" s="1"/>
  <c r="D138" i="25"/>
  <c r="G119" i="25"/>
  <c r="D119" i="25" s="1"/>
  <c r="R126" i="25"/>
  <c r="S126" i="25" s="1"/>
  <c r="R127" i="25"/>
  <c r="S127" i="25" s="1"/>
  <c r="D126" i="25" l="1"/>
  <c r="N145" i="25" s="1"/>
  <c r="D127" i="25"/>
  <c r="N146" i="25" s="1"/>
  <c r="E121" i="25"/>
  <c r="I45" i="26" s="1"/>
  <c r="E140" i="25"/>
  <c r="E116" i="25"/>
  <c r="E153" i="25"/>
  <c r="E129" i="25" l="1"/>
  <c r="E142" i="25" s="1"/>
  <c r="T145" i="25" s="1"/>
  <c r="E123" i="25"/>
  <c r="P147" i="25"/>
  <c r="P145" i="25"/>
  <c r="T147" i="25" l="1"/>
  <c r="O147" i="25" s="1"/>
  <c r="Q147" i="25" s="1"/>
  <c r="O146" i="25" s="1"/>
  <c r="T146" i="25"/>
  <c r="P146" i="25" s="1"/>
  <c r="N148" i="25"/>
  <c r="R147" i="25" l="1"/>
  <c r="S147" i="25" s="1"/>
  <c r="D147" i="25" s="1"/>
  <c r="Q146" i="25"/>
  <c r="O145" i="25" s="1"/>
  <c r="R146" i="25"/>
  <c r="S146" i="25" s="1"/>
  <c r="D146" i="25" s="1"/>
  <c r="R145" i="25" l="1"/>
  <c r="S145" i="25" s="1"/>
  <c r="D145" i="25" s="1"/>
  <c r="E148" i="25" s="1"/>
  <c r="E155" i="25" s="1"/>
  <c r="Q145" i="25"/>
</calcChain>
</file>

<file path=xl/sharedStrings.xml><?xml version="1.0" encoding="utf-8"?>
<sst xmlns="http://schemas.openxmlformats.org/spreadsheetml/2006/main" count="348" uniqueCount="247">
  <si>
    <t>_Example</t>
  </si>
  <si>
    <t>_Shading</t>
  </si>
  <si>
    <t>_Series</t>
  </si>
  <si>
    <t>_Look</t>
  </si>
  <si>
    <t>OfficeReady 3.0</t>
  </si>
  <si>
    <t>Revenue</t>
  </si>
  <si>
    <t>Cost of Goods Sold</t>
  </si>
  <si>
    <t>Gross Sales</t>
  </si>
  <si>
    <t>Beginning Inventory</t>
  </si>
  <si>
    <t>Freight-in</t>
  </si>
  <si>
    <t>Indirect Expenses</t>
  </si>
  <si>
    <t>Inventory Available</t>
  </si>
  <si>
    <t>Less: Ending Inventory</t>
  </si>
  <si>
    <t>Expenses</t>
  </si>
  <si>
    <t>Advertising</t>
  </si>
  <si>
    <t>Amortization</t>
  </si>
  <si>
    <t>Bad Debts</t>
  </si>
  <si>
    <t>Bank Charges</t>
  </si>
  <si>
    <t>Charitable Contributions</t>
  </si>
  <si>
    <t>Depreciation</t>
  </si>
  <si>
    <t>Dues and Subscriptions</t>
  </si>
  <si>
    <t>Miscellaneous</t>
  </si>
  <si>
    <t>Office Expense</t>
  </si>
  <si>
    <t>Supplies</t>
  </si>
  <si>
    <t>Payroll Taxes</t>
  </si>
  <si>
    <t>Postage</t>
  </si>
  <si>
    <t>Legal and Professional Fees</t>
  </si>
  <si>
    <t>Rent</t>
  </si>
  <si>
    <t>Repairs and Maintenance</t>
  </si>
  <si>
    <t>Telephone</t>
  </si>
  <si>
    <t>Travel</t>
  </si>
  <si>
    <t>Utilities</t>
  </si>
  <si>
    <t>Vehicle Expenses</t>
  </si>
  <si>
    <t>Wages</t>
  </si>
  <si>
    <t>Other Income</t>
  </si>
  <si>
    <t>Gain (Loss) on Sale of Assets</t>
  </si>
  <si>
    <t>Interest Income</t>
  </si>
  <si>
    <t>Licenses and Fees</t>
  </si>
  <si>
    <t>Pro Forma Income Statement</t>
  </si>
  <si>
    <t>Property Tax</t>
  </si>
  <si>
    <t>Net Profit</t>
  </si>
  <si>
    <t>Net Sales</t>
  </si>
  <si>
    <t>Gross Profit (Loss)</t>
  </si>
  <si>
    <t>Total Expenses</t>
  </si>
  <si>
    <t>Net Operating Income</t>
  </si>
  <si>
    <t>Total Other Income</t>
  </si>
  <si>
    <t>Net Income (Loss)</t>
  </si>
  <si>
    <t>Net Profit (Loss)</t>
  </si>
  <si>
    <t>Add: Purchase</t>
  </si>
  <si>
    <t>Manufacturing</t>
  </si>
  <si>
    <t>Direct Labour</t>
  </si>
  <si>
    <t>Commissions</t>
  </si>
  <si>
    <t>Contract Labour</t>
  </si>
  <si>
    <t>Employee Benefits</t>
  </si>
  <si>
    <t>Insurance</t>
  </si>
  <si>
    <t>Interest</t>
  </si>
  <si>
    <t>Less: Returns And Allowances</t>
  </si>
  <si>
    <t>Profit Sharing:</t>
  </si>
  <si>
    <t>Scenario Calculator:</t>
  </si>
  <si>
    <t>Projected Term (months):</t>
  </si>
  <si>
    <t>Realtor: 3% of balance</t>
  </si>
  <si>
    <t>Realtor: 7% of $100K</t>
  </si>
  <si>
    <t>A</t>
  </si>
  <si>
    <t>B</t>
  </si>
  <si>
    <t>C</t>
  </si>
  <si>
    <t>Finder's Fee (payable to first finder of acquisition house)</t>
  </si>
  <si>
    <t>Blackstone Mgmt Fee: 1% house acquisition fee</t>
  </si>
  <si>
    <t>Blackstone Mgmt Fee: 1% house divestiture fee</t>
  </si>
  <si>
    <t>Amount</t>
  </si>
  <si>
    <t>Notes</t>
  </si>
  <si>
    <t>Term</t>
  </si>
  <si>
    <t>Rates</t>
  </si>
  <si>
    <t>Capital
Model</t>
  </si>
  <si>
    <t>Investor Groups:</t>
  </si>
  <si>
    <t>Capital Model:</t>
  </si>
  <si>
    <t>Capital Source:</t>
  </si>
  <si>
    <t>Captial
Source</t>
  </si>
  <si>
    <t>Mortgage:</t>
  </si>
  <si>
    <t>Equity:</t>
  </si>
  <si>
    <t>Realtor Split</t>
  </si>
  <si>
    <t>Annualizer Multiplier</t>
  </si>
  <si>
    <t>Nominal Miss</t>
  </si>
  <si>
    <t>Variance Miss</t>
  </si>
  <si>
    <t>Actual Profit Split</t>
  </si>
  <si>
    <t>Actual
Profit</t>
  </si>
  <si>
    <t>Actual Rate</t>
  </si>
  <si>
    <t>Bonus Sharing</t>
  </si>
  <si>
    <t>Total Bonus Sharing</t>
  </si>
  <si>
    <t>Manager Paul Kowalenko: 33.33% of (50% of Net Profit)</t>
  </si>
  <si>
    <t>Manager Darrel Kowalenko: 33.33% of (50% of Net Profit)</t>
  </si>
  <si>
    <t>Manager Warren Kowalenko: 33.33% of (50% of Net Profit)</t>
  </si>
  <si>
    <t>ONLY Group A Profit Sharing Investors: 10% of (50% of Net Profit)</t>
  </si>
  <si>
    <t>distributable profit</t>
  </si>
  <si>
    <t>show</t>
  </si>
  <si>
    <t>distributable loss</t>
  </si>
  <si>
    <t>ONLY Group C Profit Sharing Investors: 70% of (50% of Net Profit)</t>
  </si>
  <si>
    <t>ONLY Group B Profit Sharing Investors: 20% of (50% of Net Profit)</t>
  </si>
  <si>
    <t>Net (Loss)</t>
  </si>
  <si>
    <t>Net Income</t>
  </si>
  <si>
    <t>Net Bonus Sharing</t>
  </si>
  <si>
    <t>House Purchase Cost:</t>
  </si>
  <si>
    <t>Renovation Cost (expressed as % of house purchase cost)</t>
  </si>
  <si>
    <t>Fix &amp; Flip Investment Program</t>
  </si>
  <si>
    <t>Blackstone JV</t>
  </si>
  <si>
    <t>Formulas</t>
  </si>
  <si>
    <t>house ratio targeting: ~1.5x house purchase cost</t>
  </si>
  <si>
    <t>Projet Start Date: Fall 2021</t>
  </si>
  <si>
    <t>max return</t>
  </si>
  <si>
    <t>max loss</t>
  </si>
  <si>
    <t>applied return</t>
  </si>
  <si>
    <t>applied loss</t>
  </si>
  <si>
    <t>remaining
loss</t>
  </si>
  <si>
    <t>remaining
profit</t>
  </si>
  <si>
    <t>Manager Paul Kowalenko: 33.33% of (0% of Net Loss)</t>
  </si>
  <si>
    <t>Manager Darrel Kowalenko: 33.33% of (0% of Net Loss)</t>
  </si>
  <si>
    <t>Manager Warren Kowalenko: 33.33% of (0% of Net Loss)</t>
  </si>
  <si>
    <t>Bonus OR Haircut</t>
  </si>
  <si>
    <t>Total Haircuts #1 Sharing</t>
  </si>
  <si>
    <t>Net Haircuts #1 Sharing</t>
  </si>
  <si>
    <t>Total Haircuts #2 Sharing</t>
  </si>
  <si>
    <t>Net Haircuts #2 Sharing</t>
  </si>
  <si>
    <t>remaining loss after loss sharing</t>
  </si>
  <si>
    <t>remaining loss after haircuts #1</t>
  </si>
  <si>
    <t>Income Statement (simplified)</t>
  </si>
  <si>
    <t>Fixed House Sold</t>
  </si>
  <si>
    <t>Costs</t>
  </si>
  <si>
    <t>Gross Profit</t>
  </si>
  <si>
    <t>Preferred Rates</t>
  </si>
  <si>
    <t>Group A Investors</t>
  </si>
  <si>
    <t>Group B Investors</t>
  </si>
  <si>
    <t>Group C Investors</t>
  </si>
  <si>
    <t>Profit Sharing</t>
  </si>
  <si>
    <t>Management</t>
  </si>
  <si>
    <t>5% share</t>
  </si>
  <si>
    <t>10% share</t>
  </si>
  <si>
    <t>35% share</t>
  </si>
  <si>
    <t>50% share</t>
  </si>
  <si>
    <t>Bonus Sharing
ONLY FOR
Profit Sharing Investors &amp; 
Management</t>
  </si>
  <si>
    <t>Data is auto-generated from the calculations in the previous worksheet tab. Everything is formulated.</t>
  </si>
  <si>
    <t>Max Rates</t>
  </si>
  <si>
    <t>Blackstone Joint Venture</t>
  </si>
  <si>
    <t>Co-Venturers' Projected Investment Returns</t>
  </si>
  <si>
    <t>Group</t>
  </si>
  <si>
    <t>Type of Return</t>
  </si>
  <si>
    <t>Preferred Rate: up to max 9% annualized</t>
  </si>
  <si>
    <t>Profit Sharing: up to max 10% annualized</t>
  </si>
  <si>
    <t>Preferred Rate: up to max 12% annualized</t>
  </si>
  <si>
    <t>Profit Sharing: up to max 15% annualized</t>
  </si>
  <si>
    <t>Preferred Rate: up to max 15% annualized</t>
  </si>
  <si>
    <t>Profit Sharing: up to max 20% annualized</t>
  </si>
  <si>
    <t>Equity To Cost (ETC) %</t>
  </si>
  <si>
    <t>0-80%</t>
  </si>
  <si>
    <t>80%-90%</t>
  </si>
  <si>
    <t>90%-100%</t>
  </si>
  <si>
    <t>Cumulative Returns</t>
  </si>
  <si>
    <t>Example of Calgary Flames NHL Legends as Pretend Investors</t>
  </si>
  <si>
    <t>Principal
Investment</t>
  </si>
  <si>
    <t xml:space="preserve">Monthly </t>
  </si>
  <si>
    <t>Semi-Annual</t>
  </si>
  <si>
    <t>Annual</t>
  </si>
  <si>
    <t>Robyn Regehr</t>
  </si>
  <si>
    <t>Sean Monahan</t>
  </si>
  <si>
    <t>Kent Nilsson</t>
  </si>
  <si>
    <t>Matthew Tkachuk</t>
  </si>
  <si>
    <t>Gary Roberts</t>
  </si>
  <si>
    <t>Joe Mullen</t>
  </si>
  <si>
    <t>Hakan Loob</t>
  </si>
  <si>
    <t>Doug Gilmour</t>
  </si>
  <si>
    <t>Mike Vernon</t>
  </si>
  <si>
    <t>Johnny Gaudreau</t>
  </si>
  <si>
    <t>Mark Giordano</t>
  </si>
  <si>
    <t>Lanny McDonald</t>
  </si>
  <si>
    <t>Joe Niuwendyk</t>
  </si>
  <si>
    <t>Theoren Fleury</t>
  </si>
  <si>
    <t>Mikka Kiprusoff</t>
  </si>
  <si>
    <t>Al MacInnis</t>
  </si>
  <si>
    <t>Jarome Iginla</t>
  </si>
  <si>
    <t>Share</t>
  </si>
  <si>
    <t>ONLY Profit Sharing Investors</t>
  </si>
  <si>
    <t>Total</t>
  </si>
  <si>
    <t>Preferred Rates:</t>
  </si>
  <si>
    <t>Group A Investors 80% ETC: up to max 9% (annualized) Preferred Rate</t>
  </si>
  <si>
    <t>Group B Investors 10% ETC: up to max 12% (annualized) Preferred Rate</t>
  </si>
  <si>
    <t>Group C Investors 10% ETC: up to max 15% (annualized) Preferred Rate</t>
  </si>
  <si>
    <t>1st Mortgage 80% Loan To Cost (LTC) - Processing &amp; Brokering</t>
  </si>
  <si>
    <t>Group A Investors 80% Equity To Cost (ETC)</t>
  </si>
  <si>
    <t>2nd Mortgage 10% Loan To Cost (LTC) - Processing &amp; Brokering</t>
  </si>
  <si>
    <t>3rd Mortgage 10% Loan To Cost (LTC) - Processing &amp; Brokering</t>
  </si>
  <si>
    <t>Group B Investors 10% Equity To Cost (ETC)</t>
  </si>
  <si>
    <t>Group C Investors 10% Equity To Cost (ETC)</t>
  </si>
  <si>
    <t>Profit Sharing A</t>
  </si>
  <si>
    <t>Profit Sharing B</t>
  </si>
  <si>
    <t>Profit Sharing C</t>
  </si>
  <si>
    <t>Group A Investors' 80% ETC: up to max 10% (annualized) Profit Sharing</t>
  </si>
  <si>
    <t>Group B Investors' 10% ETC: up to max 15% (annualized) Profit Sharing</t>
  </si>
  <si>
    <t>Group C Investors' 10% ETC: up to max 20% (annualized) Profit Sharing</t>
  </si>
  <si>
    <t>Preferred Rate A (LOSS)</t>
  </si>
  <si>
    <t>Preferred Rate B (LOSS)</t>
  </si>
  <si>
    <t>Preferred Rate C (LOSS)</t>
  </si>
  <si>
    <t>Profit Sharing A (LOSS)</t>
  </si>
  <si>
    <t>Profit Sharing B (LOSS)</t>
  </si>
  <si>
    <t>Profit Sharing C (LOSS)</t>
  </si>
  <si>
    <t>ONLY Profit Sharing Investors: 50% of Net Profit</t>
  </si>
  <si>
    <t>Management: 50% of Net Profit</t>
  </si>
  <si>
    <t>ONLY Profit Sharing Investors: 100% of Reversed Bonus</t>
  </si>
  <si>
    <t>Manager Paul Kowalenko: 33.33% of (0% of Reversed Bonus)</t>
  </si>
  <si>
    <t>Manager Darrel Kowalenko: 33.33% of (0% of Reversed Bonus)</t>
  </si>
  <si>
    <t>Manager Warren Kowalenko: 33.33% of (0% of Reversed Bonus)</t>
  </si>
  <si>
    <t>Management: 0% of Reversed Bonus</t>
  </si>
  <si>
    <t>Management: 0% of Net Loss</t>
  </si>
  <si>
    <t>ONLY Group A Profit Sharing Investors: 80% ETC (100% of Net Loss)</t>
  </si>
  <si>
    <t>ONLY Group B Profit Sharing Investors: 10% ETC (100% of Net Loss)</t>
  </si>
  <si>
    <t>ONLY Group C Profit Sharing Investors: 10% ETC (100% of Net Loss)</t>
  </si>
  <si>
    <t>ONLY Profit Sharing Investors: (100% of Net Loss)</t>
  </si>
  <si>
    <t>Haircuts #1: Reversed Profit Sharing</t>
  </si>
  <si>
    <t>Haircuts #2: Reversed Bonus</t>
  </si>
  <si>
    <t>Bonus</t>
  </si>
  <si>
    <t>Total Haircuts #3 Sharing</t>
  </si>
  <si>
    <t>Net Haircuts #3 Sharing</t>
  </si>
  <si>
    <t>ONLY Group A Profit Sharing Investors: 10% of (50% of Reversed Bonus)</t>
  </si>
  <si>
    <t>ONLY Group B Profit Sharing Investors: 20% of (50% of Reversed Bonus)</t>
  </si>
  <si>
    <t>ONLY Group C Profit Sharing Investors: 70% of (50% of Reversed Bonus)</t>
  </si>
  <si>
    <t>Haircuts #1</t>
  </si>
  <si>
    <t>wipeout</t>
  </si>
  <si>
    <t>house acquisition budget</t>
  </si>
  <si>
    <t>renovations budget (targeting ~1/3 of house acquisition cost)</t>
  </si>
  <si>
    <t>1st Mortgage 80% Loan To Cost (LTC)</t>
  </si>
  <si>
    <t>2nd Mortgage 10% Loan To Cost (LTC)</t>
  </si>
  <si>
    <t>3rd Mortgage 10% Loan To Cost (LTC)</t>
  </si>
  <si>
    <t>Preferred Rate A Return</t>
  </si>
  <si>
    <t>Preferred Rate B Return</t>
  </si>
  <si>
    <t>Preferred Rate C Return</t>
  </si>
  <si>
    <t>Total Preferred Rate Returns</t>
  </si>
  <si>
    <t>Profit Sharing A Return</t>
  </si>
  <si>
    <t>Profit Sharing B Return</t>
  </si>
  <si>
    <t>Profit Sharing C Return</t>
  </si>
  <si>
    <t>Total Profit Sharing Returns</t>
  </si>
  <si>
    <t>Total Returns</t>
  </si>
  <si>
    <t>Groups of Investors</t>
  </si>
  <si>
    <t>Returns / Bonus</t>
  </si>
  <si>
    <t>Investors Yields</t>
  </si>
  <si>
    <t>Haircuts #3: Net Loss For Profit Sharing Investors</t>
  </si>
  <si>
    <t>Note: Green values in this box are editable. Password: flipper. All other cells are formulated and locked.</t>
  </si>
  <si>
    <t>1. Table shows examples of investment capital contributions, and their cumulative returns compared across the 3 Groups of Investors via Preferred Rates OR Profit Sharing, for 6 ways of participating in projected venture's investment returns.</t>
  </si>
  <si>
    <t>2. Please refer to the Business Plan's section titled "Investments" for additional details on this worksheet.</t>
  </si>
  <si>
    <t>Note: Please refer to the Business Plan's section titled "Investments" for additional details on this worksheet.</t>
  </si>
  <si>
    <t>Blackstone JV Investors Waterfall: Distribution of Investment Returns and Bonuses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</si>
</sst>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mm/dd/yy"/>
    <numFmt numFmtId="165" formatCode="0_);[Red]\(0\)"/>
    <numFmt numFmtId="166" formatCode="&quot;$&quot;#,##0"/>
    <numFmt numFmtId="167" formatCode="0.0%"/>
    <numFmt numFmtId="168" formatCode="&quot;$&quot;#,##0.00"/>
    <numFmt numFmtId="169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8"/>
      <color rgb="FF0070C0"/>
      <name val="Arial"/>
      <family val="2"/>
    </font>
    <font>
      <b/>
      <sz val="8"/>
      <color rgb="FF0070C0"/>
      <name val="Arial"/>
      <family val="2"/>
    </font>
    <font>
      <b/>
      <sz val="10"/>
      <color rgb="FF00B05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8"/>
      <name val="Arial"/>
      <family val="2"/>
    </font>
    <font>
      <b/>
      <sz val="12"/>
      <color rgb="FF00B050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8A90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38" fontId="0" fillId="0" borderId="0" applyFont="0" applyBorder="0" applyProtection="0">
      <alignment wrapText="1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9">
    <xf numFmtId="38" fontId="0" fillId="0" borderId="0" xfId="0">
      <alignment wrapText="1"/>
    </xf>
    <xf numFmtId="38" fontId="2" fillId="0" borderId="0" xfId="0" applyFont="1" applyFill="1" applyAlignment="1" applyProtection="1">
      <alignment horizontal="left"/>
      <protection locked="0"/>
    </xf>
    <xf numFmtId="38" fontId="3" fillId="0" borderId="0" xfId="0" applyFont="1" applyFill="1" applyAlignment="1" applyProtection="1">
      <alignment horizontal="left"/>
      <protection locked="0"/>
    </xf>
    <xf numFmtId="38" fontId="5" fillId="0" borderId="0" xfId="0" applyFont="1" applyFill="1" applyAlignment="1">
      <alignment horizontal="left"/>
    </xf>
    <xf numFmtId="38" fontId="0" fillId="0" borderId="0" xfId="0" applyFont="1" applyFill="1" applyAlignment="1">
      <alignment horizontal="left"/>
    </xf>
    <xf numFmtId="38" fontId="4" fillId="0" borderId="0" xfId="0" applyFont="1" applyFill="1" applyAlignment="1">
      <alignment horizontal="left"/>
    </xf>
    <xf numFmtId="38" fontId="6" fillId="0" borderId="0" xfId="0" applyFont="1" applyFill="1" applyAlignment="1">
      <alignment horizontal="left"/>
    </xf>
    <xf numFmtId="166" fontId="6" fillId="0" borderId="0" xfId="0" applyNumberFormat="1" applyFont="1" applyFill="1" applyAlignment="1">
      <alignment horizontal="right"/>
    </xf>
    <xf numFmtId="167" fontId="6" fillId="0" borderId="0" xfId="5" applyNumberFormat="1" applyFont="1" applyFill="1" applyAlignment="1">
      <alignment horizontal="right"/>
    </xf>
    <xf numFmtId="9" fontId="6" fillId="0" borderId="0" xfId="5" applyFont="1" applyFill="1" applyAlignment="1">
      <alignment horizontal="right"/>
    </xf>
    <xf numFmtId="38" fontId="6" fillId="0" borderId="2" xfId="0" applyFont="1" applyFill="1" applyBorder="1" applyAlignment="1">
      <alignment horizontal="left"/>
    </xf>
    <xf numFmtId="166" fontId="6" fillId="0" borderId="2" xfId="0" applyNumberFormat="1" applyFont="1" applyFill="1" applyBorder="1" applyAlignment="1">
      <alignment horizontal="right"/>
    </xf>
    <xf numFmtId="167" fontId="6" fillId="0" borderId="2" xfId="5" applyNumberFormat="1" applyFont="1" applyFill="1" applyBorder="1" applyAlignment="1">
      <alignment horizontal="right"/>
    </xf>
    <xf numFmtId="38" fontId="7" fillId="0" borderId="0" xfId="0" applyFont="1" applyFill="1" applyAlignment="1">
      <alignment horizontal="left"/>
    </xf>
    <xf numFmtId="6" fontId="0" fillId="0" borderId="0" xfId="4" applyNumberFormat="1" applyFont="1" applyFill="1" applyAlignment="1">
      <alignment horizontal="right"/>
    </xf>
    <xf numFmtId="38" fontId="0" fillId="0" borderId="0" xfId="0" applyFill="1">
      <alignment wrapText="1"/>
    </xf>
    <xf numFmtId="38" fontId="0" fillId="0" borderId="0" xfId="0" applyFont="1" applyFill="1" applyBorder="1" applyAlignment="1">
      <alignment horizontal="left"/>
    </xf>
    <xf numFmtId="38" fontId="0" fillId="0" borderId="0" xfId="0" applyFill="1" applyBorder="1">
      <alignment wrapText="1"/>
    </xf>
    <xf numFmtId="167" fontId="0" fillId="0" borderId="0" xfId="5" applyNumberFormat="1" applyFont="1" applyFill="1" applyBorder="1" applyAlignment="1">
      <alignment horizontal="right"/>
    </xf>
    <xf numFmtId="167" fontId="6" fillId="0" borderId="0" xfId="5" applyNumberFormat="1" applyFont="1" applyFill="1" applyBorder="1" applyAlignment="1">
      <alignment horizontal="right"/>
    </xf>
    <xf numFmtId="9" fontId="6" fillId="0" borderId="0" xfId="5" applyFont="1" applyFill="1" applyBorder="1" applyAlignment="1">
      <alignment horizontal="right"/>
    </xf>
    <xf numFmtId="6" fontId="0" fillId="0" borderId="0" xfId="4" applyNumberFormat="1" applyFont="1" applyFill="1" applyBorder="1" applyAlignment="1">
      <alignment horizontal="right"/>
    </xf>
    <xf numFmtId="9" fontId="0" fillId="0" borderId="0" xfId="5" applyFont="1" applyFill="1" applyBorder="1" applyAlignment="1">
      <alignment horizontal="right"/>
    </xf>
    <xf numFmtId="38" fontId="6" fillId="0" borderId="0" xfId="0" applyFont="1" applyFill="1" applyAlignment="1">
      <alignment horizontal="left" wrapText="1"/>
    </xf>
    <xf numFmtId="9" fontId="6" fillId="0" borderId="2" xfId="5" applyFont="1" applyFill="1" applyBorder="1" applyAlignment="1">
      <alignment horizontal="right" wrapText="1"/>
    </xf>
    <xf numFmtId="166" fontId="6" fillId="0" borderId="2" xfId="0" applyNumberFormat="1" applyFont="1" applyFill="1" applyBorder="1" applyAlignment="1">
      <alignment horizontal="right" wrapText="1"/>
    </xf>
    <xf numFmtId="1" fontId="6" fillId="0" borderId="0" xfId="5" applyNumberFormat="1" applyFont="1" applyFill="1" applyBorder="1" applyAlignment="1">
      <alignment horizontal="right"/>
    </xf>
    <xf numFmtId="38" fontId="0" fillId="0" borderId="0" xfId="0" applyFont="1" applyFill="1" applyAlignment="1">
      <alignment horizontal="left" vertical="top"/>
    </xf>
    <xf numFmtId="169" fontId="6" fillId="0" borderId="0" xfId="5" applyNumberFormat="1" applyFont="1" applyFill="1" applyAlignment="1">
      <alignment horizontal="right"/>
    </xf>
    <xf numFmtId="169" fontId="6" fillId="0" borderId="0" xfId="5" applyNumberFormat="1" applyFont="1" applyFill="1" applyBorder="1" applyAlignment="1">
      <alignment horizontal="right"/>
    </xf>
    <xf numFmtId="169" fontId="6" fillId="0" borderId="2" xfId="5" applyNumberFormat="1" applyFont="1" applyFill="1" applyBorder="1" applyAlignment="1">
      <alignment horizontal="right"/>
    </xf>
    <xf numFmtId="6" fontId="0" fillId="0" borderId="0" xfId="4" applyNumberFormat="1" applyFont="1" applyFill="1" applyBorder="1" applyAlignment="1">
      <alignment horizontal="right" wrapText="1"/>
    </xf>
    <xf numFmtId="6" fontId="6" fillId="0" borderId="0" xfId="4" applyNumberFormat="1" applyFont="1" applyFill="1" applyBorder="1" applyAlignment="1">
      <alignment horizontal="right"/>
    </xf>
    <xf numFmtId="10" fontId="6" fillId="0" borderId="0" xfId="5" applyNumberFormat="1" applyFont="1" applyFill="1" applyAlignment="1">
      <alignment wrapText="1"/>
    </xf>
    <xf numFmtId="168" fontId="6" fillId="0" borderId="0" xfId="0" applyNumberFormat="1" applyFont="1" applyFill="1">
      <alignment wrapText="1"/>
    </xf>
    <xf numFmtId="2" fontId="6" fillId="0" borderId="0" xfId="4" applyNumberFormat="1" applyFont="1" applyFill="1" applyAlignment="1">
      <alignment wrapText="1"/>
    </xf>
    <xf numFmtId="10" fontId="6" fillId="0" borderId="0" xfId="5" applyNumberFormat="1" applyFont="1" applyFill="1" applyBorder="1" applyAlignment="1">
      <alignment wrapText="1"/>
    </xf>
    <xf numFmtId="168" fontId="6" fillId="0" borderId="0" xfId="0" applyNumberFormat="1" applyFont="1" applyFill="1" applyBorder="1">
      <alignment wrapText="1"/>
    </xf>
    <xf numFmtId="2" fontId="6" fillId="0" borderId="0" xfId="4" applyNumberFormat="1" applyFont="1" applyFill="1" applyBorder="1" applyAlignment="1">
      <alignment wrapText="1"/>
    </xf>
    <xf numFmtId="10" fontId="6" fillId="0" borderId="0" xfId="5" applyNumberFormat="1" applyFont="1" applyFill="1" applyBorder="1" applyAlignment="1">
      <alignment horizontal="right" wrapText="1"/>
    </xf>
    <xf numFmtId="168" fontId="6" fillId="0" borderId="0" xfId="0" applyNumberFormat="1" applyFont="1" applyFill="1" applyBorder="1" applyAlignment="1">
      <alignment horizontal="right" wrapText="1"/>
    </xf>
    <xf numFmtId="2" fontId="6" fillId="0" borderId="0" xfId="4" applyNumberFormat="1" applyFont="1" applyFill="1" applyBorder="1" applyAlignment="1">
      <alignment horizontal="right" wrapText="1"/>
    </xf>
    <xf numFmtId="6" fontId="6" fillId="0" borderId="19" xfId="4" applyNumberFormat="1" applyFont="1" applyFill="1" applyBorder="1" applyAlignment="1">
      <alignment horizontal="right"/>
    </xf>
    <xf numFmtId="6" fontId="6" fillId="0" borderId="20" xfId="4" applyNumberFormat="1" applyFont="1" applyFill="1" applyBorder="1" applyAlignment="1">
      <alignment horizontal="right"/>
    </xf>
    <xf numFmtId="38" fontId="0" fillId="0" borderId="4" xfId="0" applyFill="1" applyBorder="1" applyAlignment="1"/>
    <xf numFmtId="38" fontId="6" fillId="0" borderId="5" xfId="0" applyFont="1" applyFill="1" applyBorder="1" applyAlignment="1">
      <alignment horizontal="left"/>
    </xf>
    <xf numFmtId="166" fontId="6" fillId="0" borderId="5" xfId="0" applyNumberFormat="1" applyFont="1" applyFill="1" applyBorder="1" applyAlignment="1">
      <alignment horizontal="right"/>
    </xf>
    <xf numFmtId="9" fontId="6" fillId="0" borderId="6" xfId="5" applyFont="1" applyFill="1" applyBorder="1" applyAlignment="1">
      <alignment horizontal="right"/>
    </xf>
    <xf numFmtId="38" fontId="6" fillId="0" borderId="0" xfId="0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right"/>
    </xf>
    <xf numFmtId="9" fontId="6" fillId="0" borderId="8" xfId="5" applyFont="1" applyFill="1" applyBorder="1" applyAlignment="1">
      <alignment horizontal="right"/>
    </xf>
    <xf numFmtId="38" fontId="0" fillId="0" borderId="7" xfId="0" applyFill="1" applyBorder="1">
      <alignment wrapText="1"/>
    </xf>
    <xf numFmtId="169" fontId="0" fillId="0" borderId="0" xfId="0" applyNumberFormat="1" applyFill="1" applyBorder="1">
      <alignment wrapText="1"/>
    </xf>
    <xf numFmtId="38" fontId="0" fillId="0" borderId="12" xfId="0" applyFill="1" applyBorder="1">
      <alignment wrapText="1"/>
    </xf>
    <xf numFmtId="38" fontId="0" fillId="0" borderId="1" xfId="0" applyFill="1" applyBorder="1">
      <alignment wrapText="1"/>
    </xf>
    <xf numFmtId="38" fontId="0" fillId="0" borderId="7" xfId="0" applyFont="1" applyFill="1" applyBorder="1" applyAlignment="1">
      <alignment horizontal="left"/>
    </xf>
    <xf numFmtId="38" fontId="0" fillId="0" borderId="12" xfId="0" applyFont="1" applyFill="1" applyBorder="1" applyAlignment="1">
      <alignment horizontal="left"/>
    </xf>
    <xf numFmtId="38" fontId="0" fillId="0" borderId="1" xfId="0" applyFont="1" applyFill="1" applyBorder="1" applyAlignment="1">
      <alignment horizontal="left"/>
    </xf>
    <xf numFmtId="38" fontId="0" fillId="0" borderId="9" xfId="0" applyFont="1" applyFill="1" applyBorder="1" applyAlignment="1">
      <alignment horizontal="left"/>
    </xf>
    <xf numFmtId="38" fontId="0" fillId="0" borderId="10" xfId="0" applyFont="1" applyFill="1" applyBorder="1" applyAlignment="1">
      <alignment horizontal="left"/>
    </xf>
    <xf numFmtId="10" fontId="6" fillId="0" borderId="20" xfId="5" applyNumberFormat="1" applyFont="1" applyFill="1" applyBorder="1" applyAlignment="1">
      <alignment wrapText="1"/>
    </xf>
    <xf numFmtId="168" fontId="6" fillId="0" borderId="20" xfId="0" applyNumberFormat="1" applyFont="1" applyFill="1" applyBorder="1">
      <alignment wrapText="1"/>
    </xf>
    <xf numFmtId="2" fontId="6" fillId="0" borderId="20" xfId="4" applyNumberFormat="1" applyFont="1" applyFill="1" applyBorder="1" applyAlignment="1">
      <alignment wrapText="1"/>
    </xf>
    <xf numFmtId="10" fontId="6" fillId="0" borderId="21" xfId="5" applyNumberFormat="1" applyFont="1" applyFill="1" applyBorder="1" applyAlignment="1">
      <alignment wrapText="1"/>
    </xf>
    <xf numFmtId="6" fontId="0" fillId="0" borderId="1" xfId="4" applyNumberFormat="1" applyFont="1" applyFill="1" applyBorder="1" applyAlignment="1">
      <alignment horizontal="right"/>
    </xf>
    <xf numFmtId="6" fontId="6" fillId="0" borderId="18" xfId="4" applyNumberFormat="1" applyFont="1" applyFill="1" applyBorder="1" applyAlignment="1">
      <alignment horizontal="right" wrapText="1"/>
    </xf>
    <xf numFmtId="6" fontId="6" fillId="0" borderId="14" xfId="4" applyNumberFormat="1" applyFont="1" applyFill="1" applyBorder="1" applyAlignment="1">
      <alignment horizontal="right" wrapText="1"/>
    </xf>
    <xf numFmtId="6" fontId="6" fillId="0" borderId="7" xfId="4" applyNumberFormat="1" applyFont="1" applyFill="1" applyBorder="1" applyAlignment="1">
      <alignment horizontal="right"/>
    </xf>
    <xf numFmtId="6" fontId="6" fillId="0" borderId="8" xfId="4" applyNumberFormat="1" applyFont="1" applyFill="1" applyBorder="1" applyAlignment="1">
      <alignment horizontal="right"/>
    </xf>
    <xf numFmtId="6" fontId="6" fillId="0" borderId="16" xfId="4" applyNumberFormat="1" applyFont="1" applyFill="1" applyBorder="1" applyAlignment="1">
      <alignment horizontal="right"/>
    </xf>
    <xf numFmtId="10" fontId="6" fillId="0" borderId="14" xfId="5" applyNumberFormat="1" applyFont="1" applyFill="1" applyBorder="1" applyAlignment="1">
      <alignment horizontal="right" wrapText="1"/>
    </xf>
    <xf numFmtId="168" fontId="6" fillId="0" borderId="14" xfId="0" applyNumberFormat="1" applyFont="1" applyFill="1" applyBorder="1" applyAlignment="1">
      <alignment horizontal="right" wrapText="1"/>
    </xf>
    <xf numFmtId="2" fontId="6" fillId="0" borderId="14" xfId="4" applyNumberFormat="1" applyFont="1" applyFill="1" applyBorder="1" applyAlignment="1">
      <alignment horizontal="right" wrapText="1"/>
    </xf>
    <xf numFmtId="10" fontId="6" fillId="0" borderId="15" xfId="5" applyNumberFormat="1" applyFont="1" applyFill="1" applyBorder="1" applyAlignment="1">
      <alignment horizontal="right" wrapText="1"/>
    </xf>
    <xf numFmtId="10" fontId="6" fillId="0" borderId="8" xfId="5" applyNumberFormat="1" applyFont="1" applyFill="1" applyBorder="1" applyAlignment="1">
      <alignment wrapText="1"/>
    </xf>
    <xf numFmtId="6" fontId="6" fillId="0" borderId="17" xfId="4" applyNumberFormat="1" applyFont="1" applyFill="1" applyBorder="1" applyAlignment="1">
      <alignment horizontal="right"/>
    </xf>
    <xf numFmtId="6" fontId="6" fillId="0" borderId="10" xfId="4" applyNumberFormat="1" applyFont="1" applyFill="1" applyBorder="1" applyAlignment="1">
      <alignment horizontal="right"/>
    </xf>
    <xf numFmtId="6" fontId="6" fillId="0" borderId="11" xfId="4" applyNumberFormat="1" applyFont="1" applyFill="1" applyBorder="1" applyAlignment="1">
      <alignment horizontal="right"/>
    </xf>
    <xf numFmtId="10" fontId="6" fillId="0" borderId="10" xfId="5" applyNumberFormat="1" applyFont="1" applyFill="1" applyBorder="1" applyAlignment="1">
      <alignment wrapText="1"/>
    </xf>
    <xf numFmtId="168" fontId="6" fillId="0" borderId="10" xfId="0" applyNumberFormat="1" applyFont="1" applyFill="1" applyBorder="1">
      <alignment wrapText="1"/>
    </xf>
    <xf numFmtId="2" fontId="6" fillId="0" borderId="10" xfId="4" applyNumberFormat="1" applyFont="1" applyFill="1" applyBorder="1" applyAlignment="1">
      <alignment wrapText="1"/>
    </xf>
    <xf numFmtId="10" fontId="6" fillId="0" borderId="11" xfId="5" applyNumberFormat="1" applyFont="1" applyFill="1" applyBorder="1" applyAlignment="1">
      <alignment wrapText="1"/>
    </xf>
    <xf numFmtId="6" fontId="6" fillId="0" borderId="15" xfId="4" applyNumberFormat="1" applyFont="1" applyFill="1" applyBorder="1" applyAlignment="1">
      <alignment horizontal="right" wrapText="1"/>
    </xf>
    <xf numFmtId="38" fontId="6" fillId="0" borderId="0" xfId="0" applyFont="1" applyFill="1" applyAlignment="1"/>
    <xf numFmtId="168" fontId="6" fillId="0" borderId="0" xfId="0" applyNumberFormat="1" applyFont="1" applyFill="1" applyAlignment="1"/>
    <xf numFmtId="2" fontId="6" fillId="0" borderId="0" xfId="4" applyNumberFormat="1" applyFont="1" applyFill="1" applyAlignment="1"/>
    <xf numFmtId="10" fontId="6" fillId="0" borderId="0" xfId="5" applyNumberFormat="1" applyFont="1" applyFill="1" applyAlignment="1"/>
    <xf numFmtId="38" fontId="0" fillId="0" borderId="0" xfId="0" applyFill="1" applyAlignment="1"/>
    <xf numFmtId="38" fontId="4" fillId="0" borderId="7" xfId="0" applyFont="1" applyFill="1" applyBorder="1" applyAlignment="1">
      <alignment horizontal="left"/>
    </xf>
    <xf numFmtId="169" fontId="6" fillId="0" borderId="19" xfId="5" applyNumberFormat="1" applyFont="1" applyFill="1" applyBorder="1" applyAlignment="1">
      <alignment horizontal="right" wrapText="1"/>
    </xf>
    <xf numFmtId="10" fontId="6" fillId="0" borderId="15" xfId="5" applyNumberFormat="1" applyFont="1" applyFill="1" applyBorder="1" applyAlignment="1">
      <alignment wrapText="1"/>
    </xf>
    <xf numFmtId="6" fontId="6" fillId="0" borderId="8" xfId="5" applyNumberFormat="1" applyFont="1" applyFill="1" applyBorder="1" applyAlignment="1">
      <alignment wrapText="1"/>
    </xf>
    <xf numFmtId="38" fontId="0" fillId="0" borderId="0" xfId="0" applyAlignment="1"/>
    <xf numFmtId="38" fontId="0" fillId="0" borderId="22" xfId="0" applyBorder="1" applyAlignment="1"/>
    <xf numFmtId="38" fontId="0" fillId="0" borderId="23" xfId="0" applyBorder="1" applyAlignment="1"/>
    <xf numFmtId="38" fontId="0" fillId="0" borderId="24" xfId="0" applyBorder="1" applyAlignment="1"/>
    <xf numFmtId="38" fontId="0" fillId="0" borderId="25" xfId="0" applyBorder="1">
      <alignment wrapText="1"/>
    </xf>
    <xf numFmtId="38" fontId="0" fillId="0" borderId="26" xfId="0" applyBorder="1">
      <alignment wrapText="1"/>
    </xf>
    <xf numFmtId="38" fontId="0" fillId="0" borderId="27" xfId="0" applyBorder="1">
      <alignment wrapText="1"/>
    </xf>
    <xf numFmtId="166" fontId="0" fillId="0" borderId="0" xfId="0" applyNumberFormat="1">
      <alignment wrapText="1"/>
    </xf>
    <xf numFmtId="38" fontId="0" fillId="0" borderId="1" xfId="0" applyBorder="1">
      <alignment wrapText="1"/>
    </xf>
    <xf numFmtId="38" fontId="0" fillId="0" borderId="0" xfId="0" applyBorder="1">
      <alignment wrapText="1"/>
    </xf>
    <xf numFmtId="38" fontId="9" fillId="0" borderId="0" xfId="0" applyFont="1" applyBorder="1" applyAlignment="1"/>
    <xf numFmtId="38" fontId="0" fillId="0" borderId="0" xfId="0" applyBorder="1" applyAlignment="1"/>
    <xf numFmtId="38" fontId="0" fillId="0" borderId="1" xfId="0" applyBorder="1" applyAlignment="1"/>
    <xf numFmtId="38" fontId="0" fillId="0" borderId="0" xfId="0" applyBorder="1" applyAlignment="1">
      <alignment horizontal="center"/>
    </xf>
    <xf numFmtId="166" fontId="8" fillId="0" borderId="0" xfId="0" applyNumberFormat="1" applyFont="1" applyBorder="1">
      <alignment wrapText="1"/>
    </xf>
    <xf numFmtId="9" fontId="0" fillId="0" borderId="1" xfId="5" applyFont="1" applyBorder="1" applyAlignment="1">
      <alignment horizontal="center" vertical="top"/>
    </xf>
    <xf numFmtId="9" fontId="0" fillId="0" borderId="0" xfId="5" applyFont="1" applyBorder="1" applyAlignment="1">
      <alignment horizontal="center" vertical="top"/>
    </xf>
    <xf numFmtId="38" fontId="0" fillId="0" borderId="31" xfId="0" applyBorder="1" applyAlignment="1"/>
    <xf numFmtId="38" fontId="0" fillId="0" borderId="31" xfId="0" applyBorder="1">
      <alignment wrapText="1"/>
    </xf>
    <xf numFmtId="166" fontId="0" fillId="0" borderId="25" xfId="0" applyNumberFormat="1" applyBorder="1">
      <alignment wrapText="1"/>
    </xf>
    <xf numFmtId="166" fontId="0" fillId="0" borderId="26" xfId="0" applyNumberFormat="1" applyBorder="1">
      <alignment wrapText="1"/>
    </xf>
    <xf numFmtId="9" fontId="0" fillId="0" borderId="0" xfId="5" applyFont="1" applyAlignment="1">
      <alignment horizontal="left" wrapText="1"/>
    </xf>
    <xf numFmtId="38" fontId="0" fillId="0" borderId="0" xfId="0" applyBorder="1" applyAlignment="1">
      <alignment horizontal="left" wrapText="1"/>
    </xf>
    <xf numFmtId="38" fontId="0" fillId="0" borderId="0" xfId="0" applyAlignment="1">
      <alignment horizontal="left" wrapText="1"/>
    </xf>
    <xf numFmtId="38" fontId="0" fillId="0" borderId="1" xfId="0" applyBorder="1" applyAlignment="1">
      <alignment horizontal="left" wrapText="1"/>
    </xf>
    <xf numFmtId="166" fontId="0" fillId="0" borderId="27" xfId="0" applyNumberFormat="1" applyBorder="1">
      <alignment wrapText="1"/>
    </xf>
    <xf numFmtId="38" fontId="0" fillId="0" borderId="0" xfId="0" applyFont="1" applyAlignment="1"/>
    <xf numFmtId="38" fontId="0" fillId="0" borderId="0" xfId="0" applyFont="1" applyBorder="1" applyAlignment="1"/>
    <xf numFmtId="38" fontId="12" fillId="0" borderId="0" xfId="0" applyFont="1" applyBorder="1" applyAlignment="1"/>
    <xf numFmtId="166" fontId="0" fillId="0" borderId="0" xfId="0" applyNumberFormat="1" applyFont="1" applyBorder="1" applyAlignment="1"/>
    <xf numFmtId="38" fontId="0" fillId="0" borderId="18" xfId="0" applyFont="1" applyBorder="1" applyAlignment="1"/>
    <xf numFmtId="38" fontId="12" fillId="0" borderId="15" xfId="0" applyFont="1" applyBorder="1" applyAlignment="1">
      <alignment horizontal="right"/>
    </xf>
    <xf numFmtId="38" fontId="12" fillId="0" borderId="0" xfId="0" applyFont="1" applyBorder="1" applyAlignment="1">
      <alignment horizontal="right"/>
    </xf>
    <xf numFmtId="38" fontId="12" fillId="0" borderId="0" xfId="0" applyFont="1" applyBorder="1" applyAlignment="1">
      <alignment horizontal="center"/>
    </xf>
    <xf numFmtId="38" fontId="12" fillId="0" borderId="0" xfId="0" applyFont="1" applyAlignment="1"/>
    <xf numFmtId="38" fontId="0" fillId="0" borderId="7" xfId="0" applyFont="1" applyBorder="1" applyAlignment="1"/>
    <xf numFmtId="38" fontId="0" fillId="0" borderId="8" xfId="0" applyFont="1" applyBorder="1" applyAlignment="1"/>
    <xf numFmtId="9" fontId="12" fillId="2" borderId="32" xfId="5" applyFont="1" applyFill="1" applyBorder="1" applyAlignment="1">
      <alignment horizontal="right"/>
    </xf>
    <xf numFmtId="38" fontId="0" fillId="0" borderId="31" xfId="0" applyFont="1" applyBorder="1" applyAlignment="1"/>
    <xf numFmtId="9" fontId="0" fillId="0" borderId="25" xfId="5" applyFont="1" applyFill="1" applyBorder="1" applyAlignment="1">
      <alignment horizontal="right"/>
    </xf>
    <xf numFmtId="9" fontId="12" fillId="2" borderId="22" xfId="5" applyFont="1" applyFill="1" applyBorder="1" applyAlignment="1">
      <alignment horizontal="right"/>
    </xf>
    <xf numFmtId="9" fontId="0" fillId="0" borderId="33" xfId="5" applyFont="1" applyFill="1" applyBorder="1" applyAlignment="1">
      <alignment horizontal="right"/>
    </xf>
    <xf numFmtId="9" fontId="0" fillId="0" borderId="8" xfId="5" applyFont="1" applyFill="1" applyBorder="1" applyAlignment="1">
      <alignment horizontal="right"/>
    </xf>
    <xf numFmtId="9" fontId="0" fillId="0" borderId="0" xfId="5" applyFont="1" applyFill="1" applyBorder="1" applyAlignment="1">
      <alignment horizontal="left"/>
    </xf>
    <xf numFmtId="38" fontId="12" fillId="0" borderId="8" xfId="0" applyFont="1" applyBorder="1" applyAlignment="1">
      <alignment horizontal="right"/>
    </xf>
    <xf numFmtId="38" fontId="0" fillId="0" borderId="7" xfId="0" applyFont="1" applyBorder="1" applyAlignment="1">
      <alignment horizontal="left"/>
    </xf>
    <xf numFmtId="38" fontId="12" fillId="0" borderId="26" xfId="0" applyFont="1" applyBorder="1" applyAlignment="1">
      <alignment horizontal="center"/>
    </xf>
    <xf numFmtId="38" fontId="0" fillId="0" borderId="23" xfId="0" applyFont="1" applyBorder="1" applyAlignment="1">
      <alignment horizontal="left"/>
    </xf>
    <xf numFmtId="38" fontId="12" fillId="0" borderId="8" xfId="0" applyFont="1" applyBorder="1" applyAlignment="1">
      <alignment horizontal="center"/>
    </xf>
    <xf numFmtId="38" fontId="0" fillId="0" borderId="12" xfId="0" applyFont="1" applyBorder="1">
      <alignment wrapText="1"/>
    </xf>
    <xf numFmtId="38" fontId="0" fillId="0" borderId="13" xfId="0" applyFont="1" applyBorder="1" applyAlignment="1">
      <alignment horizontal="right" wrapText="1"/>
    </xf>
    <xf numFmtId="38" fontId="0" fillId="0" borderId="0" xfId="0" applyFont="1" applyBorder="1" applyAlignment="1">
      <alignment horizontal="right" wrapText="1"/>
    </xf>
    <xf numFmtId="38" fontId="0" fillId="0" borderId="12" xfId="0" applyFont="1" applyBorder="1" applyAlignment="1">
      <alignment horizontal="right" wrapText="1"/>
    </xf>
    <xf numFmtId="38" fontId="0" fillId="0" borderId="1" xfId="0" applyFont="1" applyBorder="1" applyAlignment="1">
      <alignment horizontal="right" wrapText="1"/>
    </xf>
    <xf numFmtId="38" fontId="0" fillId="0" borderId="27" xfId="0" applyFont="1" applyBorder="1" applyAlignment="1">
      <alignment horizontal="right" wrapText="1"/>
    </xf>
    <xf numFmtId="38" fontId="0" fillId="0" borderId="24" xfId="0" applyFont="1" applyBorder="1" applyAlignment="1">
      <alignment horizontal="right" wrapText="1"/>
    </xf>
    <xf numFmtId="166" fontId="0" fillId="0" borderId="8" xfId="0" applyNumberFormat="1" applyFont="1" applyBorder="1" applyAlignment="1"/>
    <xf numFmtId="166" fontId="0" fillId="0" borderId="7" xfId="0" applyNumberFormat="1" applyFont="1" applyBorder="1" applyAlignment="1"/>
    <xf numFmtId="166" fontId="0" fillId="0" borderId="26" xfId="0" applyNumberFormat="1" applyFont="1" applyBorder="1" applyAlignment="1"/>
    <xf numFmtId="166" fontId="0" fillId="0" borderId="32" xfId="0" applyNumberFormat="1" applyFont="1" applyBorder="1" applyAlignment="1"/>
    <xf numFmtId="166" fontId="0" fillId="0" borderId="31" xfId="0" applyNumberFormat="1" applyFont="1" applyBorder="1" applyAlignment="1"/>
    <xf numFmtId="166" fontId="0" fillId="0" borderId="25" xfId="0" applyNumberFormat="1" applyFont="1" applyBorder="1" applyAlignment="1"/>
    <xf numFmtId="38" fontId="0" fillId="3" borderId="7" xfId="0" applyFont="1" applyFill="1" applyBorder="1" applyAlignment="1"/>
    <xf numFmtId="166" fontId="0" fillId="3" borderId="8" xfId="0" applyNumberFormat="1" applyFont="1" applyFill="1" applyBorder="1" applyAlignment="1"/>
    <xf numFmtId="166" fontId="0" fillId="3" borderId="7" xfId="0" applyNumberFormat="1" applyFont="1" applyFill="1" applyBorder="1" applyAlignment="1"/>
    <xf numFmtId="166" fontId="0" fillId="3" borderId="0" xfId="0" applyNumberFormat="1" applyFont="1" applyFill="1" applyBorder="1" applyAlignment="1"/>
    <xf numFmtId="166" fontId="0" fillId="3" borderId="26" xfId="0" applyNumberFormat="1" applyFont="1" applyFill="1" applyBorder="1" applyAlignment="1"/>
    <xf numFmtId="38" fontId="0" fillId="0" borderId="9" xfId="0" applyFont="1" applyBorder="1" applyAlignment="1"/>
    <xf numFmtId="166" fontId="0" fillId="0" borderId="11" xfId="0" applyNumberFormat="1" applyFont="1" applyBorder="1" applyAlignment="1"/>
    <xf numFmtId="166" fontId="0" fillId="0" borderId="9" xfId="0" applyNumberFormat="1" applyFont="1" applyBorder="1" applyAlignment="1"/>
    <xf numFmtId="166" fontId="0" fillId="0" borderId="10" xfId="0" applyNumberFormat="1" applyFont="1" applyBorder="1" applyAlignment="1"/>
    <xf numFmtId="166" fontId="0" fillId="0" borderId="34" xfId="0" applyNumberFormat="1" applyFont="1" applyBorder="1" applyAlignment="1"/>
    <xf numFmtId="38" fontId="0" fillId="0" borderId="15" xfId="0" applyFont="1" applyBorder="1" applyAlignment="1">
      <alignment horizontal="right"/>
    </xf>
    <xf numFmtId="9" fontId="0" fillId="0" borderId="8" xfId="5" applyFont="1" applyBorder="1"/>
    <xf numFmtId="9" fontId="12" fillId="2" borderId="17" xfId="5" applyFont="1" applyFill="1" applyBorder="1" applyAlignment="1">
      <alignment horizontal="right"/>
    </xf>
    <xf numFmtId="38" fontId="0" fillId="0" borderId="3" xfId="0" applyFont="1" applyBorder="1" applyAlignment="1"/>
    <xf numFmtId="9" fontId="0" fillId="0" borderId="35" xfId="5" applyFont="1" applyFill="1" applyBorder="1" applyAlignment="1">
      <alignment horizontal="right"/>
    </xf>
    <xf numFmtId="9" fontId="12" fillId="2" borderId="36" xfId="5" applyFont="1" applyFill="1" applyBorder="1" applyAlignment="1">
      <alignment horizontal="right"/>
    </xf>
    <xf numFmtId="9" fontId="0" fillId="0" borderId="37" xfId="5" applyFont="1" applyFill="1" applyBorder="1" applyAlignment="1">
      <alignment horizontal="right"/>
    </xf>
    <xf numFmtId="38" fontId="0" fillId="0" borderId="12" xfId="0" applyFont="1" applyBorder="1" applyAlignment="1"/>
    <xf numFmtId="9" fontId="0" fillId="0" borderId="13" xfId="5" applyFont="1" applyBorder="1"/>
    <xf numFmtId="9" fontId="0" fillId="0" borderId="11" xfId="5" applyFont="1" applyBorder="1"/>
    <xf numFmtId="9" fontId="0" fillId="0" borderId="0" xfId="5" applyFont="1" applyBorder="1"/>
    <xf numFmtId="38" fontId="0" fillId="0" borderId="0" xfId="0" applyFont="1" applyBorder="1" applyAlignment="1">
      <alignment vertical="top"/>
    </xf>
    <xf numFmtId="38" fontId="6" fillId="0" borderId="15" xfId="0" applyFont="1" applyFill="1" applyBorder="1" applyAlignment="1">
      <alignment horizontal="right" wrapText="1"/>
    </xf>
    <xf numFmtId="38" fontId="13" fillId="0" borderId="0" xfId="0" applyFont="1" applyFill="1" applyBorder="1">
      <alignment wrapText="1"/>
    </xf>
    <xf numFmtId="38" fontId="13" fillId="0" borderId="8" xfId="0" applyFont="1" applyFill="1" applyBorder="1">
      <alignment wrapText="1"/>
    </xf>
    <xf numFmtId="38" fontId="13" fillId="0" borderId="10" xfId="0" applyFont="1" applyFill="1" applyBorder="1">
      <alignment wrapText="1"/>
    </xf>
    <xf numFmtId="38" fontId="0" fillId="0" borderId="11" xfId="0" applyFill="1" applyBorder="1">
      <alignment wrapText="1"/>
    </xf>
    <xf numFmtId="6" fontId="0" fillId="0" borderId="20" xfId="4" applyNumberFormat="1" applyFont="1" applyFill="1" applyBorder="1" applyAlignment="1">
      <alignment horizontal="right"/>
    </xf>
    <xf numFmtId="6" fontId="0" fillId="0" borderId="38" xfId="4" applyNumberFormat="1" applyFont="1" applyFill="1" applyBorder="1" applyAlignment="1">
      <alignment horizontal="right"/>
    </xf>
    <xf numFmtId="169" fontId="14" fillId="4" borderId="4" xfId="5" applyNumberFormat="1" applyFont="1" applyFill="1" applyBorder="1" applyAlignment="1">
      <alignment horizontal="right"/>
    </xf>
    <xf numFmtId="166" fontId="14" fillId="4" borderId="7" xfId="0" applyNumberFormat="1" applyFont="1" applyFill="1" applyBorder="1" applyAlignment="1">
      <alignment horizontal="right"/>
    </xf>
    <xf numFmtId="9" fontId="14" fillId="4" borderId="8" xfId="5" applyFont="1" applyFill="1" applyBorder="1" applyAlignment="1">
      <alignment horizontal="right"/>
    </xf>
    <xf numFmtId="9" fontId="14" fillId="4" borderId="7" xfId="5" applyFont="1" applyFill="1" applyBorder="1" applyAlignment="1">
      <alignment horizontal="right"/>
    </xf>
    <xf numFmtId="9" fontId="14" fillId="4" borderId="0" xfId="5" applyFont="1" applyFill="1" applyBorder="1" applyAlignment="1">
      <alignment horizontal="right"/>
    </xf>
    <xf numFmtId="9" fontId="14" fillId="4" borderId="12" xfId="5" applyFont="1" applyFill="1" applyBorder="1" applyAlignment="1">
      <alignment horizontal="right"/>
    </xf>
    <xf numFmtId="9" fontId="14" fillId="4" borderId="1" xfId="5" applyFont="1" applyFill="1" applyBorder="1" applyAlignment="1">
      <alignment horizontal="right"/>
    </xf>
    <xf numFmtId="9" fontId="14" fillId="4" borderId="13" xfId="5" applyFont="1" applyFill="1" applyBorder="1" applyAlignment="1">
      <alignment horizontal="right"/>
    </xf>
    <xf numFmtId="9" fontId="14" fillId="4" borderId="9" xfId="5" applyFont="1" applyFill="1" applyBorder="1" applyAlignment="1">
      <alignment horizontal="right"/>
    </xf>
    <xf numFmtId="9" fontId="14" fillId="4" borderId="10" xfId="5" applyFont="1" applyFill="1" applyBorder="1" applyAlignment="1">
      <alignment horizontal="right"/>
    </xf>
    <xf numFmtId="9" fontId="14" fillId="4" borderId="11" xfId="5" applyFont="1" applyFill="1" applyBorder="1" applyAlignment="1">
      <alignment horizontal="right"/>
    </xf>
    <xf numFmtId="38" fontId="0" fillId="0" borderId="0" xfId="0" applyAlignment="1">
      <alignment horizontal="left" vertical="top"/>
    </xf>
    <xf numFmtId="166" fontId="16" fillId="0" borderId="27" xfId="0" applyNumberFormat="1" applyFont="1" applyBorder="1">
      <alignment wrapText="1"/>
    </xf>
    <xf numFmtId="166" fontId="16" fillId="0" borderId="0" xfId="0" applyNumberFormat="1" applyFont="1">
      <alignment wrapText="1"/>
    </xf>
    <xf numFmtId="166" fontId="14" fillId="0" borderId="0" xfId="0" applyNumberFormat="1" applyFont="1" applyBorder="1">
      <alignment wrapText="1"/>
    </xf>
    <xf numFmtId="166" fontId="14" fillId="0" borderId="0" xfId="0" applyNumberFormat="1" applyFont="1" applyBorder="1" applyAlignment="1">
      <alignment horizontal="center" wrapText="1"/>
    </xf>
    <xf numFmtId="38" fontId="5" fillId="0" borderId="0" xfId="0" applyFont="1" applyAlignment="1"/>
    <xf numFmtId="166" fontId="15" fillId="0" borderId="12" xfId="0" applyNumberFormat="1" applyFont="1" applyFill="1" applyBorder="1" applyAlignment="1">
      <alignment horizontal="right"/>
    </xf>
    <xf numFmtId="166" fontId="15" fillId="0" borderId="1" xfId="0" applyNumberFormat="1" applyFont="1" applyFill="1" applyBorder="1" applyAlignment="1">
      <alignment horizontal="right"/>
    </xf>
    <xf numFmtId="9" fontId="15" fillId="0" borderId="13" xfId="5" applyFont="1" applyFill="1" applyBorder="1" applyAlignment="1">
      <alignment horizontal="right"/>
    </xf>
    <xf numFmtId="166" fontId="14" fillId="0" borderId="5" xfId="0" applyNumberFormat="1" applyFont="1" applyFill="1" applyBorder="1" applyAlignment="1">
      <alignment horizontal="right"/>
    </xf>
    <xf numFmtId="9" fontId="14" fillId="0" borderId="6" xfId="5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9" fontId="14" fillId="0" borderId="8" xfId="5" applyFont="1" applyFill="1" applyBorder="1" applyAlignment="1">
      <alignment horizontal="right"/>
    </xf>
    <xf numFmtId="38" fontId="0" fillId="0" borderId="7" xfId="0" applyBorder="1" applyAlignment="1">
      <alignment horizontal="left"/>
    </xf>
    <xf numFmtId="38" fontId="5" fillId="0" borderId="28" xfId="0" applyFont="1" applyBorder="1" applyAlignment="1">
      <alignment horizontal="center" vertical="center" wrapText="1"/>
    </xf>
    <xf numFmtId="38" fontId="5" fillId="0" borderId="29" xfId="0" applyFont="1" applyBorder="1" applyAlignment="1">
      <alignment horizontal="center" vertical="center" wrapText="1"/>
    </xf>
    <xf numFmtId="38" fontId="5" fillId="0" borderId="30" xfId="0" applyFont="1" applyBorder="1" applyAlignment="1">
      <alignment horizontal="center" vertical="center" wrapText="1"/>
    </xf>
    <xf numFmtId="38" fontId="10" fillId="0" borderId="28" xfId="0" applyFont="1" applyBorder="1" applyAlignment="1">
      <alignment horizontal="center" vertical="center" wrapText="1"/>
    </xf>
    <xf numFmtId="38" fontId="10" fillId="0" borderId="29" xfId="0" applyFont="1" applyBorder="1" applyAlignment="1">
      <alignment horizontal="center" vertical="center" wrapText="1"/>
    </xf>
    <xf numFmtId="38" fontId="10" fillId="0" borderId="30" xfId="0" applyFont="1" applyBorder="1" applyAlignment="1">
      <alignment horizontal="center" vertical="center" wrapText="1"/>
    </xf>
    <xf numFmtId="38" fontId="0" fillId="0" borderId="0" xfId="0" applyBorder="1" applyAlignment="1">
      <alignment horizontal="center" vertical="top" wrapText="1"/>
    </xf>
    <xf numFmtId="38" fontId="12" fillId="2" borderId="18" xfId="0" applyFont="1" applyFill="1" applyBorder="1" applyAlignment="1">
      <alignment horizontal="center"/>
    </xf>
    <xf numFmtId="38" fontId="12" fillId="2" borderId="14" xfId="0" applyFont="1" applyFill="1" applyBorder="1" applyAlignment="1">
      <alignment horizontal="center"/>
    </xf>
    <xf numFmtId="38" fontId="12" fillId="2" borderId="15" xfId="0" applyFont="1" applyFill="1" applyBorder="1" applyAlignment="1">
      <alignment horizontal="center"/>
    </xf>
    <xf numFmtId="9" fontId="0" fillId="0" borderId="23" xfId="5" applyFont="1" applyFill="1" applyBorder="1" applyAlignment="1">
      <alignment horizontal="left" wrapText="1"/>
    </xf>
    <xf numFmtId="9" fontId="0" fillId="0" borderId="0" xfId="5" applyFont="1" applyFill="1" applyBorder="1" applyAlignment="1">
      <alignment horizontal="left" wrapText="1"/>
    </xf>
    <xf numFmtId="9" fontId="0" fillId="0" borderId="8" xfId="5" applyFont="1" applyFill="1" applyBorder="1" applyAlignment="1">
      <alignment horizontal="left" wrapText="1"/>
    </xf>
    <xf numFmtId="38" fontId="0" fillId="0" borderId="7" xfId="0" applyFont="1" applyBorder="1" applyAlignment="1">
      <alignment horizontal="center"/>
    </xf>
    <xf numFmtId="38" fontId="0" fillId="0" borderId="0" xfId="0" applyFont="1" applyBorder="1" applyAlignment="1">
      <alignment horizontal="center"/>
    </xf>
    <xf numFmtId="38" fontId="0" fillId="0" borderId="26" xfId="0" applyFont="1" applyBorder="1" applyAlignment="1">
      <alignment horizontal="center"/>
    </xf>
    <xf numFmtId="38" fontId="0" fillId="0" borderId="8" xfId="0" applyFont="1" applyBorder="1" applyAlignment="1">
      <alignment horizontal="center"/>
    </xf>
    <xf numFmtId="9" fontId="0" fillId="0" borderId="7" xfId="5" applyFont="1" applyFill="1" applyBorder="1" applyAlignment="1">
      <alignment horizontal="left" wrapText="1"/>
    </xf>
    <xf numFmtId="9" fontId="0" fillId="0" borderId="26" xfId="5" applyFont="1" applyFill="1" applyBorder="1" applyAlignment="1">
      <alignment horizontal="left" wrapText="1"/>
    </xf>
    <xf numFmtId="38" fontId="11" fillId="0" borderId="0" xfId="0" applyFont="1" applyAlignment="1">
      <alignment horizontal="center"/>
    </xf>
    <xf numFmtId="38" fontId="12" fillId="0" borderId="0" xfId="0" applyFont="1" applyBorder="1" applyAlignment="1">
      <alignment horizontal="center"/>
    </xf>
  </cellXfs>
  <cellStyles count="6">
    <cellStyle name="Comma" xfId="4" builtinId="3"/>
    <cellStyle name="Date" xfId="1" xr:uid="{00000000-0005-0000-0000-000000000000}"/>
    <cellStyle name="Fixed" xfId="2" xr:uid="{00000000-0005-0000-0000-000001000000}"/>
    <cellStyle name="Normal" xfId="0" builtinId="0" customBuiltin="1"/>
    <cellStyle name="Percent" xfId="5" builtinId="5"/>
    <cellStyle name="Text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10</xdr:row>
      <xdr:rowOff>85725</xdr:rowOff>
    </xdr:from>
    <xdr:to>
      <xdr:col>4</xdr:col>
      <xdr:colOff>95250</xdr:colOff>
      <xdr:row>14</xdr:row>
      <xdr:rowOff>38100</xdr:rowOff>
    </xdr:to>
    <xdr:grpSp>
      <xdr:nvGrpSpPr>
        <xdr:cNvPr id="2" name="Graphic 9" descr="Cylinder with solid fill">
          <a:extLst>
            <a:ext uri="{FF2B5EF4-FFF2-40B4-BE49-F238E27FC236}">
              <a16:creationId xmlns:a16="http://schemas.microsoft.com/office/drawing/2014/main" id="{9CE42A46-B225-4801-A197-F39A3E081BBC}"/>
            </a:ext>
          </a:extLst>
        </xdr:cNvPr>
        <xdr:cNvGrpSpPr/>
      </xdr:nvGrpSpPr>
      <xdr:grpSpPr>
        <a:xfrm>
          <a:off x="2981325" y="1704975"/>
          <a:ext cx="800100" cy="600075"/>
          <a:chOff x="5651496" y="2628900"/>
          <a:chExt cx="584206" cy="704850"/>
        </a:xfrm>
        <a:solidFill>
          <a:srgbClr val="00B0F0"/>
        </a:solidFill>
      </xdr:grpSpPr>
      <xdr:sp macro="" textlink="">
        <xdr:nvSpPr>
          <xdr:cNvPr id="3" name="Freeform: Shape 2">
            <a:extLst>
              <a:ext uri="{FF2B5EF4-FFF2-40B4-BE49-F238E27FC236}">
                <a16:creationId xmlns:a16="http://schemas.microsoft.com/office/drawing/2014/main" id="{E8341B61-0CB4-44BC-B85B-756629D4E7A3}"/>
              </a:ext>
            </a:extLst>
          </xdr:cNvPr>
          <xdr:cNvSpPr/>
        </xdr:nvSpPr>
        <xdr:spPr>
          <a:xfrm>
            <a:off x="5651496" y="2628900"/>
            <a:ext cx="584206" cy="704850"/>
          </a:xfrm>
          <a:custGeom>
            <a:avLst/>
            <a:gdLst>
              <a:gd name="connsiteX0" fmla="*/ 292103 w 584206"/>
              <a:gd name="connsiteY0" fmla="*/ 0 h 704850"/>
              <a:gd name="connsiteX1" fmla="*/ 0 w 584206"/>
              <a:gd name="connsiteY1" fmla="*/ 117472 h 704850"/>
              <a:gd name="connsiteX2" fmla="*/ 0 w 584206"/>
              <a:gd name="connsiteY2" fmla="*/ 587378 h 704850"/>
              <a:gd name="connsiteX3" fmla="*/ 292103 w 584206"/>
              <a:gd name="connsiteY3" fmla="*/ 704850 h 704850"/>
              <a:gd name="connsiteX4" fmla="*/ 584206 w 584206"/>
              <a:gd name="connsiteY4" fmla="*/ 587378 h 704850"/>
              <a:gd name="connsiteX5" fmla="*/ 584206 w 584206"/>
              <a:gd name="connsiteY5" fmla="*/ 117472 h 704850"/>
              <a:gd name="connsiteX6" fmla="*/ 292103 w 584206"/>
              <a:gd name="connsiteY6" fmla="*/ 0 h 704850"/>
              <a:gd name="connsiteX7" fmla="*/ 292103 w 584206"/>
              <a:gd name="connsiteY7" fmla="*/ 57150 h 704850"/>
              <a:gd name="connsiteX8" fmla="*/ 527056 w 584206"/>
              <a:gd name="connsiteY8" fmla="*/ 117472 h 704850"/>
              <a:gd name="connsiteX9" fmla="*/ 292103 w 584206"/>
              <a:gd name="connsiteY9" fmla="*/ 177803 h 704850"/>
              <a:gd name="connsiteX10" fmla="*/ 57150 w 584206"/>
              <a:gd name="connsiteY10" fmla="*/ 117472 h 704850"/>
              <a:gd name="connsiteX11" fmla="*/ 292103 w 584206"/>
              <a:gd name="connsiteY11" fmla="*/ 57150 h 704850"/>
              <a:gd name="connsiteX12" fmla="*/ 292103 w 584206"/>
              <a:gd name="connsiteY12" fmla="*/ 647700 h 704850"/>
              <a:gd name="connsiteX13" fmla="*/ 57150 w 584206"/>
              <a:gd name="connsiteY13" fmla="*/ 587378 h 704850"/>
              <a:gd name="connsiteX14" fmla="*/ 57150 w 584206"/>
              <a:gd name="connsiteY14" fmla="*/ 191043 h 704850"/>
              <a:gd name="connsiteX15" fmla="*/ 292103 w 584206"/>
              <a:gd name="connsiteY15" fmla="*/ 234953 h 704850"/>
              <a:gd name="connsiteX16" fmla="*/ 527056 w 584206"/>
              <a:gd name="connsiteY16" fmla="*/ 191043 h 704850"/>
              <a:gd name="connsiteX17" fmla="*/ 527056 w 584206"/>
              <a:gd name="connsiteY17" fmla="*/ 587378 h 704850"/>
              <a:gd name="connsiteX18" fmla="*/ 292103 w 584206"/>
              <a:gd name="connsiteY18" fmla="*/ 647700 h 704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584206" h="704850">
                <a:moveTo>
                  <a:pt x="292103" y="0"/>
                </a:moveTo>
                <a:cubicBezTo>
                  <a:pt x="151419" y="0"/>
                  <a:pt x="0" y="36757"/>
                  <a:pt x="0" y="117472"/>
                </a:cubicBezTo>
                <a:lnTo>
                  <a:pt x="0" y="587378"/>
                </a:lnTo>
                <a:cubicBezTo>
                  <a:pt x="0" y="668093"/>
                  <a:pt x="151419" y="704850"/>
                  <a:pt x="292103" y="704850"/>
                </a:cubicBezTo>
                <a:cubicBezTo>
                  <a:pt x="432787" y="704850"/>
                  <a:pt x="584206" y="668093"/>
                  <a:pt x="584206" y="587378"/>
                </a:cubicBezTo>
                <a:lnTo>
                  <a:pt x="584206" y="117472"/>
                </a:lnTo>
                <a:cubicBezTo>
                  <a:pt x="584206" y="36757"/>
                  <a:pt x="432787" y="0"/>
                  <a:pt x="292103" y="0"/>
                </a:cubicBezTo>
                <a:close/>
                <a:moveTo>
                  <a:pt x="292103" y="57150"/>
                </a:moveTo>
                <a:cubicBezTo>
                  <a:pt x="444722" y="57150"/>
                  <a:pt x="527056" y="100013"/>
                  <a:pt x="527056" y="117472"/>
                </a:cubicBezTo>
                <a:cubicBezTo>
                  <a:pt x="527056" y="134931"/>
                  <a:pt x="444722" y="177803"/>
                  <a:pt x="292103" y="177803"/>
                </a:cubicBezTo>
                <a:cubicBezTo>
                  <a:pt x="139484" y="177803"/>
                  <a:pt x="57150" y="134941"/>
                  <a:pt x="57150" y="117472"/>
                </a:cubicBezTo>
                <a:cubicBezTo>
                  <a:pt x="57150" y="100003"/>
                  <a:pt x="139484" y="57150"/>
                  <a:pt x="292103" y="57150"/>
                </a:cubicBezTo>
                <a:close/>
                <a:moveTo>
                  <a:pt x="292103" y="647700"/>
                </a:moveTo>
                <a:cubicBezTo>
                  <a:pt x="139484" y="647700"/>
                  <a:pt x="57150" y="604838"/>
                  <a:pt x="57150" y="587378"/>
                </a:cubicBezTo>
                <a:lnTo>
                  <a:pt x="57150" y="191043"/>
                </a:lnTo>
                <a:cubicBezTo>
                  <a:pt x="114014" y="220866"/>
                  <a:pt x="205092" y="234953"/>
                  <a:pt x="292103" y="234953"/>
                </a:cubicBezTo>
                <a:cubicBezTo>
                  <a:pt x="379114" y="234953"/>
                  <a:pt x="470221" y="220866"/>
                  <a:pt x="527056" y="191043"/>
                </a:cubicBezTo>
                <a:lnTo>
                  <a:pt x="527056" y="587378"/>
                </a:lnTo>
                <a:cubicBezTo>
                  <a:pt x="527056" y="604838"/>
                  <a:pt x="444722" y="647700"/>
                  <a:pt x="292103" y="64770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61019923-BF2E-4FB4-9E8C-BD1E4713D905}"/>
              </a:ext>
            </a:extLst>
          </xdr:cNvPr>
          <xdr:cNvSpPr/>
        </xdr:nvSpPr>
        <xdr:spPr>
          <a:xfrm>
            <a:off x="5785561" y="3127448"/>
            <a:ext cx="41205" cy="26355"/>
          </a:xfrm>
          <a:custGeom>
            <a:avLst/>
            <a:gdLst>
              <a:gd name="connsiteX0" fmla="*/ 0 w 41205"/>
              <a:gd name="connsiteY0" fmla="*/ 7868 h 26355"/>
              <a:gd name="connsiteX1" fmla="*/ 4582 w 41205"/>
              <a:gd name="connsiteY1" fmla="*/ 26356 h 26355"/>
              <a:gd name="connsiteX2" fmla="*/ 41205 w 41205"/>
              <a:gd name="connsiteY2" fmla="*/ 18736 h 26355"/>
              <a:gd name="connsiteX3" fmla="*/ 38024 w 41205"/>
              <a:gd name="connsiteY3" fmla="*/ 0 h 26355"/>
              <a:gd name="connsiteX4" fmla="*/ 0 w 41205"/>
              <a:gd name="connsiteY4" fmla="*/ 7868 h 263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1205" h="26355">
                <a:moveTo>
                  <a:pt x="0" y="7868"/>
                </a:moveTo>
                <a:lnTo>
                  <a:pt x="4582" y="26356"/>
                </a:lnTo>
                <a:cubicBezTo>
                  <a:pt x="16107" y="23498"/>
                  <a:pt x="28394" y="20955"/>
                  <a:pt x="41205" y="18736"/>
                </a:cubicBezTo>
                <a:lnTo>
                  <a:pt x="38024" y="0"/>
                </a:lnTo>
                <a:cubicBezTo>
                  <a:pt x="24775" y="2248"/>
                  <a:pt x="11992" y="4896"/>
                  <a:pt x="0" y="7868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36D7F2DE-2DAF-44D9-AC70-6BA27B85438B}"/>
              </a:ext>
            </a:extLst>
          </xdr:cNvPr>
          <xdr:cNvSpPr/>
        </xdr:nvSpPr>
        <xdr:spPr>
          <a:xfrm>
            <a:off x="5854207" y="3119447"/>
            <a:ext cx="39700" cy="22488"/>
          </a:xfrm>
          <a:custGeom>
            <a:avLst/>
            <a:gdLst>
              <a:gd name="connsiteX0" fmla="*/ 0 w 39700"/>
              <a:gd name="connsiteY0" fmla="*/ 3581 h 22488"/>
              <a:gd name="connsiteX1" fmla="*/ 2267 w 39700"/>
              <a:gd name="connsiteY1" fmla="*/ 22489 h 22488"/>
              <a:gd name="connsiteX2" fmla="*/ 39700 w 39700"/>
              <a:gd name="connsiteY2" fmla="*/ 19050 h 22488"/>
              <a:gd name="connsiteX3" fmla="*/ 38462 w 39700"/>
              <a:gd name="connsiteY3" fmla="*/ 0 h 22488"/>
              <a:gd name="connsiteX4" fmla="*/ 0 w 39700"/>
              <a:gd name="connsiteY4" fmla="*/ 3581 h 224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700" h="22488">
                <a:moveTo>
                  <a:pt x="0" y="3581"/>
                </a:moveTo>
                <a:lnTo>
                  <a:pt x="2267" y="22489"/>
                </a:lnTo>
                <a:cubicBezTo>
                  <a:pt x="14430" y="21031"/>
                  <a:pt x="27032" y="19879"/>
                  <a:pt x="39700" y="19050"/>
                </a:cubicBezTo>
                <a:lnTo>
                  <a:pt x="38462" y="0"/>
                </a:lnTo>
                <a:cubicBezTo>
                  <a:pt x="25451" y="886"/>
                  <a:pt x="12506" y="2076"/>
                  <a:pt x="0" y="3581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4EF48FFC-1723-4851-82C4-7F7002E27008}"/>
              </a:ext>
            </a:extLst>
          </xdr:cNvPr>
          <xdr:cNvSpPr/>
        </xdr:nvSpPr>
        <xdr:spPr>
          <a:xfrm>
            <a:off x="5718990" y="3143916"/>
            <a:ext cx="42576" cy="32013"/>
          </a:xfrm>
          <a:custGeom>
            <a:avLst/>
            <a:gdLst>
              <a:gd name="connsiteX0" fmla="*/ 0 w 42576"/>
              <a:gd name="connsiteY0" fmla="*/ 15059 h 32013"/>
              <a:gd name="connsiteX1" fmla="*/ 8696 w 42576"/>
              <a:gd name="connsiteY1" fmla="*/ 32014 h 32013"/>
              <a:gd name="connsiteX2" fmla="*/ 42577 w 42576"/>
              <a:gd name="connsiteY2" fmla="*/ 18098 h 32013"/>
              <a:gd name="connsiteX3" fmla="*/ 36557 w 42576"/>
              <a:gd name="connsiteY3" fmla="*/ 0 h 32013"/>
              <a:gd name="connsiteX4" fmla="*/ 0 w 42576"/>
              <a:gd name="connsiteY4" fmla="*/ 15059 h 3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2576" h="32013">
                <a:moveTo>
                  <a:pt x="0" y="15059"/>
                </a:moveTo>
                <a:lnTo>
                  <a:pt x="8696" y="32014"/>
                </a:lnTo>
                <a:cubicBezTo>
                  <a:pt x="19625" y="26533"/>
                  <a:pt x="30951" y="21881"/>
                  <a:pt x="42577" y="18098"/>
                </a:cubicBezTo>
                <a:lnTo>
                  <a:pt x="36557" y="0"/>
                </a:lnTo>
                <a:cubicBezTo>
                  <a:pt x="24010" y="4094"/>
                  <a:pt x="11790" y="9128"/>
                  <a:pt x="0" y="15059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7F8950F7-067D-444E-BA67-FCB54620161C}"/>
              </a:ext>
            </a:extLst>
          </xdr:cNvPr>
          <xdr:cNvSpPr/>
        </xdr:nvSpPr>
        <xdr:spPr>
          <a:xfrm>
            <a:off x="5923511" y="3117853"/>
            <a:ext cx="38566" cy="19300"/>
          </a:xfrm>
          <a:custGeom>
            <a:avLst/>
            <a:gdLst>
              <a:gd name="connsiteX0" fmla="*/ 0 w 38566"/>
              <a:gd name="connsiteY0" fmla="*/ 250 h 19300"/>
              <a:gd name="connsiteX1" fmla="*/ 467 w 38566"/>
              <a:gd name="connsiteY1" fmla="*/ 19300 h 19300"/>
              <a:gd name="connsiteX2" fmla="*/ 38110 w 38566"/>
              <a:gd name="connsiteY2" fmla="*/ 19300 h 19300"/>
              <a:gd name="connsiteX3" fmla="*/ 38567 w 38566"/>
              <a:gd name="connsiteY3" fmla="*/ 250 h 19300"/>
              <a:gd name="connsiteX4" fmla="*/ 0 w 38566"/>
              <a:gd name="connsiteY4" fmla="*/ 250 h 19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8566" h="19300">
                <a:moveTo>
                  <a:pt x="0" y="250"/>
                </a:moveTo>
                <a:lnTo>
                  <a:pt x="467" y="19300"/>
                </a:lnTo>
                <a:cubicBezTo>
                  <a:pt x="12849" y="18995"/>
                  <a:pt x="25670" y="18976"/>
                  <a:pt x="38110" y="19300"/>
                </a:cubicBezTo>
                <a:lnTo>
                  <a:pt x="38567" y="250"/>
                </a:lnTo>
                <a:cubicBezTo>
                  <a:pt x="25803" y="-93"/>
                  <a:pt x="12716" y="-74"/>
                  <a:pt x="0" y="25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BAB65CDE-F971-4742-BAD6-223A96F6D663}"/>
              </a:ext>
            </a:extLst>
          </xdr:cNvPr>
          <xdr:cNvSpPr/>
        </xdr:nvSpPr>
        <xdr:spPr>
          <a:xfrm>
            <a:off x="6124155" y="3143430"/>
            <a:ext cx="42576" cy="31804"/>
          </a:xfrm>
          <a:custGeom>
            <a:avLst/>
            <a:gdLst>
              <a:gd name="connsiteX0" fmla="*/ 0 w 42576"/>
              <a:gd name="connsiteY0" fmla="*/ 18098 h 31804"/>
              <a:gd name="connsiteX1" fmla="*/ 34004 w 42576"/>
              <a:gd name="connsiteY1" fmla="*/ 31804 h 31804"/>
              <a:gd name="connsiteX2" fmla="*/ 42577 w 42576"/>
              <a:gd name="connsiteY2" fmla="*/ 14773 h 31804"/>
              <a:gd name="connsiteX3" fmla="*/ 5963 w 42576"/>
              <a:gd name="connsiteY3" fmla="*/ 0 h 318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576" h="31804">
                <a:moveTo>
                  <a:pt x="0" y="18098"/>
                </a:moveTo>
                <a:cubicBezTo>
                  <a:pt x="11653" y="21832"/>
                  <a:pt x="23018" y="26414"/>
                  <a:pt x="34004" y="31804"/>
                </a:cubicBezTo>
                <a:lnTo>
                  <a:pt x="42577" y="14773"/>
                </a:lnTo>
                <a:cubicBezTo>
                  <a:pt x="30750" y="8960"/>
                  <a:pt x="18512" y="4022"/>
                  <a:pt x="596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" name="Freeform: Shape 8">
            <a:extLst>
              <a:ext uri="{FF2B5EF4-FFF2-40B4-BE49-F238E27FC236}">
                <a16:creationId xmlns:a16="http://schemas.microsoft.com/office/drawing/2014/main" id="{2C6A11F4-C367-44F8-8AEB-7C55D3A3EDD7}"/>
              </a:ext>
            </a:extLst>
          </xdr:cNvPr>
          <xdr:cNvSpPr/>
        </xdr:nvSpPr>
        <xdr:spPr>
          <a:xfrm>
            <a:off x="6058852" y="3127181"/>
            <a:ext cx="41167" cy="26250"/>
          </a:xfrm>
          <a:custGeom>
            <a:avLst/>
            <a:gdLst>
              <a:gd name="connsiteX0" fmla="*/ 0 w 41167"/>
              <a:gd name="connsiteY0" fmla="*/ 18783 h 26250"/>
              <a:gd name="connsiteX1" fmla="*/ 36652 w 41167"/>
              <a:gd name="connsiteY1" fmla="*/ 26251 h 26250"/>
              <a:gd name="connsiteX2" fmla="*/ 41167 w 41167"/>
              <a:gd name="connsiteY2" fmla="*/ 7734 h 26250"/>
              <a:gd name="connsiteX3" fmla="*/ 3143 w 41167"/>
              <a:gd name="connsiteY3" fmla="*/ 0 h 26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1167" h="26250">
                <a:moveTo>
                  <a:pt x="0" y="18783"/>
                </a:moveTo>
                <a:cubicBezTo>
                  <a:pt x="12735" y="20917"/>
                  <a:pt x="25070" y="23422"/>
                  <a:pt x="36652" y="26251"/>
                </a:cubicBezTo>
                <a:lnTo>
                  <a:pt x="41167" y="7734"/>
                </a:lnTo>
                <a:cubicBezTo>
                  <a:pt x="29137" y="4810"/>
                  <a:pt x="16335" y="2200"/>
                  <a:pt x="314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" name="Freeform: Shape 9">
            <a:extLst>
              <a:ext uri="{FF2B5EF4-FFF2-40B4-BE49-F238E27FC236}">
                <a16:creationId xmlns:a16="http://schemas.microsoft.com/office/drawing/2014/main" id="{2A70A8E2-8F39-41CD-8350-39710C39A405}"/>
              </a:ext>
            </a:extLst>
          </xdr:cNvPr>
          <xdr:cNvSpPr/>
        </xdr:nvSpPr>
        <xdr:spPr>
          <a:xfrm>
            <a:off x="5991710" y="3119389"/>
            <a:ext cx="39671" cy="22364"/>
          </a:xfrm>
          <a:custGeom>
            <a:avLst/>
            <a:gdLst>
              <a:gd name="connsiteX0" fmla="*/ 0 w 39671"/>
              <a:gd name="connsiteY0" fmla="*/ 19012 h 22364"/>
              <a:gd name="connsiteX1" fmla="*/ 37452 w 39671"/>
              <a:gd name="connsiteY1" fmla="*/ 22365 h 22364"/>
              <a:gd name="connsiteX2" fmla="*/ 39672 w 39671"/>
              <a:gd name="connsiteY2" fmla="*/ 3448 h 22364"/>
              <a:gd name="connsiteX3" fmla="*/ 1200 w 39671"/>
              <a:gd name="connsiteY3" fmla="*/ 0 h 223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9671" h="22364">
                <a:moveTo>
                  <a:pt x="0" y="19012"/>
                </a:moveTo>
                <a:cubicBezTo>
                  <a:pt x="12668" y="19802"/>
                  <a:pt x="25270" y="20917"/>
                  <a:pt x="37452" y="22365"/>
                </a:cubicBezTo>
                <a:lnTo>
                  <a:pt x="39672" y="3448"/>
                </a:lnTo>
                <a:cubicBezTo>
                  <a:pt x="27146" y="1981"/>
                  <a:pt x="14202" y="819"/>
                  <a:pt x="1200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3</xdr:col>
      <xdr:colOff>0</xdr:colOff>
      <xdr:row>6</xdr:row>
      <xdr:rowOff>38100</xdr:rowOff>
    </xdr:from>
    <xdr:to>
      <xdr:col>3</xdr:col>
      <xdr:colOff>476249</xdr:colOff>
      <xdr:row>11</xdr:row>
      <xdr:rowOff>114300</xdr:rowOff>
    </xdr:to>
    <xdr:pic>
      <xdr:nvPicPr>
        <xdr:cNvPr id="11" name="Graphic 10" descr="Arrow: Rotate right with solid fill">
          <a:extLst>
            <a:ext uri="{FF2B5EF4-FFF2-40B4-BE49-F238E27FC236}">
              <a16:creationId xmlns:a16="http://schemas.microsoft.com/office/drawing/2014/main" id="{279771B2-B2CC-4B87-875A-F2D564C33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52750" y="1171575"/>
          <a:ext cx="476249" cy="8858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</xdr:row>
      <xdr:rowOff>123825</xdr:rowOff>
    </xdr:from>
    <xdr:to>
      <xdr:col>4</xdr:col>
      <xdr:colOff>476249</xdr:colOff>
      <xdr:row>15</xdr:row>
      <xdr:rowOff>104775</xdr:rowOff>
    </xdr:to>
    <xdr:pic>
      <xdr:nvPicPr>
        <xdr:cNvPr id="12" name="Graphic 11" descr="Arrow: Rotate right with solid fill">
          <a:extLst>
            <a:ext uri="{FF2B5EF4-FFF2-40B4-BE49-F238E27FC236}">
              <a16:creationId xmlns:a16="http://schemas.microsoft.com/office/drawing/2014/main" id="{9DBFB2C6-9D70-448D-9977-162783F3E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05200" y="1581150"/>
          <a:ext cx="476249" cy="1114425"/>
        </a:xfrm>
        <a:prstGeom prst="rect">
          <a:avLst/>
        </a:prstGeom>
      </xdr:spPr>
    </xdr:pic>
    <xdr:clientData/>
  </xdr:twoCellAnchor>
  <xdr:twoCellAnchor>
    <xdr:from>
      <xdr:col>3</xdr:col>
      <xdr:colOff>571500</xdr:colOff>
      <xdr:row>14</xdr:row>
      <xdr:rowOff>76200</xdr:rowOff>
    </xdr:from>
    <xdr:to>
      <xdr:col>5</xdr:col>
      <xdr:colOff>95250</xdr:colOff>
      <xdr:row>18</xdr:row>
      <xdr:rowOff>57150</xdr:rowOff>
    </xdr:to>
    <xdr:grpSp>
      <xdr:nvGrpSpPr>
        <xdr:cNvPr id="13" name="Graphic 9" descr="Cylinder with solid fill">
          <a:extLst>
            <a:ext uri="{FF2B5EF4-FFF2-40B4-BE49-F238E27FC236}">
              <a16:creationId xmlns:a16="http://schemas.microsoft.com/office/drawing/2014/main" id="{A02B4550-61D1-46C9-BB91-C5F4E9FB1155}"/>
            </a:ext>
          </a:extLst>
        </xdr:cNvPr>
        <xdr:cNvGrpSpPr/>
      </xdr:nvGrpSpPr>
      <xdr:grpSpPr>
        <a:xfrm>
          <a:off x="3609975" y="2343150"/>
          <a:ext cx="819150" cy="628650"/>
          <a:chOff x="5651496" y="2628900"/>
          <a:chExt cx="584206" cy="704850"/>
        </a:xfrm>
        <a:solidFill>
          <a:srgbClr val="00B0F0"/>
        </a:solidFill>
      </xdr:grpSpPr>
      <xdr:sp macro="" textlink="">
        <xdr:nvSpPr>
          <xdr:cNvPr id="14" name="Freeform: Shape 13">
            <a:extLst>
              <a:ext uri="{FF2B5EF4-FFF2-40B4-BE49-F238E27FC236}">
                <a16:creationId xmlns:a16="http://schemas.microsoft.com/office/drawing/2014/main" id="{6B39828C-D446-4069-83AB-EC39514FF81D}"/>
              </a:ext>
            </a:extLst>
          </xdr:cNvPr>
          <xdr:cNvSpPr/>
        </xdr:nvSpPr>
        <xdr:spPr>
          <a:xfrm>
            <a:off x="5651496" y="2628900"/>
            <a:ext cx="584206" cy="704850"/>
          </a:xfrm>
          <a:custGeom>
            <a:avLst/>
            <a:gdLst>
              <a:gd name="connsiteX0" fmla="*/ 292103 w 584206"/>
              <a:gd name="connsiteY0" fmla="*/ 0 h 704850"/>
              <a:gd name="connsiteX1" fmla="*/ 0 w 584206"/>
              <a:gd name="connsiteY1" fmla="*/ 117472 h 704850"/>
              <a:gd name="connsiteX2" fmla="*/ 0 w 584206"/>
              <a:gd name="connsiteY2" fmla="*/ 587378 h 704850"/>
              <a:gd name="connsiteX3" fmla="*/ 292103 w 584206"/>
              <a:gd name="connsiteY3" fmla="*/ 704850 h 704850"/>
              <a:gd name="connsiteX4" fmla="*/ 584206 w 584206"/>
              <a:gd name="connsiteY4" fmla="*/ 587378 h 704850"/>
              <a:gd name="connsiteX5" fmla="*/ 584206 w 584206"/>
              <a:gd name="connsiteY5" fmla="*/ 117472 h 704850"/>
              <a:gd name="connsiteX6" fmla="*/ 292103 w 584206"/>
              <a:gd name="connsiteY6" fmla="*/ 0 h 704850"/>
              <a:gd name="connsiteX7" fmla="*/ 292103 w 584206"/>
              <a:gd name="connsiteY7" fmla="*/ 57150 h 704850"/>
              <a:gd name="connsiteX8" fmla="*/ 527056 w 584206"/>
              <a:gd name="connsiteY8" fmla="*/ 117472 h 704850"/>
              <a:gd name="connsiteX9" fmla="*/ 292103 w 584206"/>
              <a:gd name="connsiteY9" fmla="*/ 177803 h 704850"/>
              <a:gd name="connsiteX10" fmla="*/ 57150 w 584206"/>
              <a:gd name="connsiteY10" fmla="*/ 117472 h 704850"/>
              <a:gd name="connsiteX11" fmla="*/ 292103 w 584206"/>
              <a:gd name="connsiteY11" fmla="*/ 57150 h 704850"/>
              <a:gd name="connsiteX12" fmla="*/ 292103 w 584206"/>
              <a:gd name="connsiteY12" fmla="*/ 647700 h 704850"/>
              <a:gd name="connsiteX13" fmla="*/ 57150 w 584206"/>
              <a:gd name="connsiteY13" fmla="*/ 587378 h 704850"/>
              <a:gd name="connsiteX14" fmla="*/ 57150 w 584206"/>
              <a:gd name="connsiteY14" fmla="*/ 191043 h 704850"/>
              <a:gd name="connsiteX15" fmla="*/ 292103 w 584206"/>
              <a:gd name="connsiteY15" fmla="*/ 234953 h 704850"/>
              <a:gd name="connsiteX16" fmla="*/ 527056 w 584206"/>
              <a:gd name="connsiteY16" fmla="*/ 191043 h 704850"/>
              <a:gd name="connsiteX17" fmla="*/ 527056 w 584206"/>
              <a:gd name="connsiteY17" fmla="*/ 587378 h 704850"/>
              <a:gd name="connsiteX18" fmla="*/ 292103 w 584206"/>
              <a:gd name="connsiteY18" fmla="*/ 647700 h 704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584206" h="704850">
                <a:moveTo>
                  <a:pt x="292103" y="0"/>
                </a:moveTo>
                <a:cubicBezTo>
                  <a:pt x="151419" y="0"/>
                  <a:pt x="0" y="36757"/>
                  <a:pt x="0" y="117472"/>
                </a:cubicBezTo>
                <a:lnTo>
                  <a:pt x="0" y="587378"/>
                </a:lnTo>
                <a:cubicBezTo>
                  <a:pt x="0" y="668093"/>
                  <a:pt x="151419" y="704850"/>
                  <a:pt x="292103" y="704850"/>
                </a:cubicBezTo>
                <a:cubicBezTo>
                  <a:pt x="432787" y="704850"/>
                  <a:pt x="584206" y="668093"/>
                  <a:pt x="584206" y="587378"/>
                </a:cubicBezTo>
                <a:lnTo>
                  <a:pt x="584206" y="117472"/>
                </a:lnTo>
                <a:cubicBezTo>
                  <a:pt x="584206" y="36757"/>
                  <a:pt x="432787" y="0"/>
                  <a:pt x="292103" y="0"/>
                </a:cubicBezTo>
                <a:close/>
                <a:moveTo>
                  <a:pt x="292103" y="57150"/>
                </a:moveTo>
                <a:cubicBezTo>
                  <a:pt x="444722" y="57150"/>
                  <a:pt x="527056" y="100013"/>
                  <a:pt x="527056" y="117472"/>
                </a:cubicBezTo>
                <a:cubicBezTo>
                  <a:pt x="527056" y="134931"/>
                  <a:pt x="444722" y="177803"/>
                  <a:pt x="292103" y="177803"/>
                </a:cubicBezTo>
                <a:cubicBezTo>
                  <a:pt x="139484" y="177803"/>
                  <a:pt x="57150" y="134941"/>
                  <a:pt x="57150" y="117472"/>
                </a:cubicBezTo>
                <a:cubicBezTo>
                  <a:pt x="57150" y="100003"/>
                  <a:pt x="139484" y="57150"/>
                  <a:pt x="292103" y="57150"/>
                </a:cubicBezTo>
                <a:close/>
                <a:moveTo>
                  <a:pt x="292103" y="647700"/>
                </a:moveTo>
                <a:cubicBezTo>
                  <a:pt x="139484" y="647700"/>
                  <a:pt x="57150" y="604838"/>
                  <a:pt x="57150" y="587378"/>
                </a:cubicBezTo>
                <a:lnTo>
                  <a:pt x="57150" y="191043"/>
                </a:lnTo>
                <a:cubicBezTo>
                  <a:pt x="114014" y="220866"/>
                  <a:pt x="205092" y="234953"/>
                  <a:pt x="292103" y="234953"/>
                </a:cubicBezTo>
                <a:cubicBezTo>
                  <a:pt x="379114" y="234953"/>
                  <a:pt x="470221" y="220866"/>
                  <a:pt x="527056" y="191043"/>
                </a:cubicBezTo>
                <a:lnTo>
                  <a:pt x="527056" y="587378"/>
                </a:lnTo>
                <a:cubicBezTo>
                  <a:pt x="527056" y="604838"/>
                  <a:pt x="444722" y="647700"/>
                  <a:pt x="292103" y="64770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5" name="Freeform: Shape 14">
            <a:extLst>
              <a:ext uri="{FF2B5EF4-FFF2-40B4-BE49-F238E27FC236}">
                <a16:creationId xmlns:a16="http://schemas.microsoft.com/office/drawing/2014/main" id="{4497D94F-8D9B-4582-9085-3656B63B044B}"/>
              </a:ext>
            </a:extLst>
          </xdr:cNvPr>
          <xdr:cNvSpPr/>
        </xdr:nvSpPr>
        <xdr:spPr>
          <a:xfrm>
            <a:off x="5785561" y="3127448"/>
            <a:ext cx="41205" cy="26355"/>
          </a:xfrm>
          <a:custGeom>
            <a:avLst/>
            <a:gdLst>
              <a:gd name="connsiteX0" fmla="*/ 0 w 41205"/>
              <a:gd name="connsiteY0" fmla="*/ 7868 h 26355"/>
              <a:gd name="connsiteX1" fmla="*/ 4582 w 41205"/>
              <a:gd name="connsiteY1" fmla="*/ 26356 h 26355"/>
              <a:gd name="connsiteX2" fmla="*/ 41205 w 41205"/>
              <a:gd name="connsiteY2" fmla="*/ 18736 h 26355"/>
              <a:gd name="connsiteX3" fmla="*/ 38024 w 41205"/>
              <a:gd name="connsiteY3" fmla="*/ 0 h 26355"/>
              <a:gd name="connsiteX4" fmla="*/ 0 w 41205"/>
              <a:gd name="connsiteY4" fmla="*/ 7868 h 263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1205" h="26355">
                <a:moveTo>
                  <a:pt x="0" y="7868"/>
                </a:moveTo>
                <a:lnTo>
                  <a:pt x="4582" y="26356"/>
                </a:lnTo>
                <a:cubicBezTo>
                  <a:pt x="16107" y="23498"/>
                  <a:pt x="28394" y="20955"/>
                  <a:pt x="41205" y="18736"/>
                </a:cubicBezTo>
                <a:lnTo>
                  <a:pt x="38024" y="0"/>
                </a:lnTo>
                <a:cubicBezTo>
                  <a:pt x="24775" y="2248"/>
                  <a:pt x="11992" y="4896"/>
                  <a:pt x="0" y="7868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6" name="Freeform: Shape 15">
            <a:extLst>
              <a:ext uri="{FF2B5EF4-FFF2-40B4-BE49-F238E27FC236}">
                <a16:creationId xmlns:a16="http://schemas.microsoft.com/office/drawing/2014/main" id="{DA172604-82C0-4AF2-B75C-8BA6F4158301}"/>
              </a:ext>
            </a:extLst>
          </xdr:cNvPr>
          <xdr:cNvSpPr/>
        </xdr:nvSpPr>
        <xdr:spPr>
          <a:xfrm>
            <a:off x="5854207" y="3119447"/>
            <a:ext cx="39700" cy="22488"/>
          </a:xfrm>
          <a:custGeom>
            <a:avLst/>
            <a:gdLst>
              <a:gd name="connsiteX0" fmla="*/ 0 w 39700"/>
              <a:gd name="connsiteY0" fmla="*/ 3581 h 22488"/>
              <a:gd name="connsiteX1" fmla="*/ 2267 w 39700"/>
              <a:gd name="connsiteY1" fmla="*/ 22489 h 22488"/>
              <a:gd name="connsiteX2" fmla="*/ 39700 w 39700"/>
              <a:gd name="connsiteY2" fmla="*/ 19050 h 22488"/>
              <a:gd name="connsiteX3" fmla="*/ 38462 w 39700"/>
              <a:gd name="connsiteY3" fmla="*/ 0 h 22488"/>
              <a:gd name="connsiteX4" fmla="*/ 0 w 39700"/>
              <a:gd name="connsiteY4" fmla="*/ 3581 h 224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700" h="22488">
                <a:moveTo>
                  <a:pt x="0" y="3581"/>
                </a:moveTo>
                <a:lnTo>
                  <a:pt x="2267" y="22489"/>
                </a:lnTo>
                <a:cubicBezTo>
                  <a:pt x="14430" y="21031"/>
                  <a:pt x="27032" y="19879"/>
                  <a:pt x="39700" y="19050"/>
                </a:cubicBezTo>
                <a:lnTo>
                  <a:pt x="38462" y="0"/>
                </a:lnTo>
                <a:cubicBezTo>
                  <a:pt x="25451" y="886"/>
                  <a:pt x="12506" y="2076"/>
                  <a:pt x="0" y="3581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7" name="Freeform: Shape 16">
            <a:extLst>
              <a:ext uri="{FF2B5EF4-FFF2-40B4-BE49-F238E27FC236}">
                <a16:creationId xmlns:a16="http://schemas.microsoft.com/office/drawing/2014/main" id="{9A66BBBE-0175-4902-98A1-61A75A58D6B2}"/>
              </a:ext>
            </a:extLst>
          </xdr:cNvPr>
          <xdr:cNvSpPr/>
        </xdr:nvSpPr>
        <xdr:spPr>
          <a:xfrm>
            <a:off x="5718990" y="3143916"/>
            <a:ext cx="42576" cy="32013"/>
          </a:xfrm>
          <a:custGeom>
            <a:avLst/>
            <a:gdLst>
              <a:gd name="connsiteX0" fmla="*/ 0 w 42576"/>
              <a:gd name="connsiteY0" fmla="*/ 15059 h 32013"/>
              <a:gd name="connsiteX1" fmla="*/ 8696 w 42576"/>
              <a:gd name="connsiteY1" fmla="*/ 32014 h 32013"/>
              <a:gd name="connsiteX2" fmla="*/ 42577 w 42576"/>
              <a:gd name="connsiteY2" fmla="*/ 18098 h 32013"/>
              <a:gd name="connsiteX3" fmla="*/ 36557 w 42576"/>
              <a:gd name="connsiteY3" fmla="*/ 0 h 32013"/>
              <a:gd name="connsiteX4" fmla="*/ 0 w 42576"/>
              <a:gd name="connsiteY4" fmla="*/ 15059 h 3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2576" h="32013">
                <a:moveTo>
                  <a:pt x="0" y="15059"/>
                </a:moveTo>
                <a:lnTo>
                  <a:pt x="8696" y="32014"/>
                </a:lnTo>
                <a:cubicBezTo>
                  <a:pt x="19625" y="26533"/>
                  <a:pt x="30951" y="21881"/>
                  <a:pt x="42577" y="18098"/>
                </a:cubicBezTo>
                <a:lnTo>
                  <a:pt x="36557" y="0"/>
                </a:lnTo>
                <a:cubicBezTo>
                  <a:pt x="24010" y="4094"/>
                  <a:pt x="11790" y="9128"/>
                  <a:pt x="0" y="15059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8" name="Freeform: Shape 17">
            <a:extLst>
              <a:ext uri="{FF2B5EF4-FFF2-40B4-BE49-F238E27FC236}">
                <a16:creationId xmlns:a16="http://schemas.microsoft.com/office/drawing/2014/main" id="{D3CC0308-F76D-45D3-AC1D-C6D4704F275D}"/>
              </a:ext>
            </a:extLst>
          </xdr:cNvPr>
          <xdr:cNvSpPr/>
        </xdr:nvSpPr>
        <xdr:spPr>
          <a:xfrm>
            <a:off x="5923511" y="3117853"/>
            <a:ext cx="38566" cy="19300"/>
          </a:xfrm>
          <a:custGeom>
            <a:avLst/>
            <a:gdLst>
              <a:gd name="connsiteX0" fmla="*/ 0 w 38566"/>
              <a:gd name="connsiteY0" fmla="*/ 250 h 19300"/>
              <a:gd name="connsiteX1" fmla="*/ 467 w 38566"/>
              <a:gd name="connsiteY1" fmla="*/ 19300 h 19300"/>
              <a:gd name="connsiteX2" fmla="*/ 38110 w 38566"/>
              <a:gd name="connsiteY2" fmla="*/ 19300 h 19300"/>
              <a:gd name="connsiteX3" fmla="*/ 38567 w 38566"/>
              <a:gd name="connsiteY3" fmla="*/ 250 h 19300"/>
              <a:gd name="connsiteX4" fmla="*/ 0 w 38566"/>
              <a:gd name="connsiteY4" fmla="*/ 250 h 19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8566" h="19300">
                <a:moveTo>
                  <a:pt x="0" y="250"/>
                </a:moveTo>
                <a:lnTo>
                  <a:pt x="467" y="19300"/>
                </a:lnTo>
                <a:cubicBezTo>
                  <a:pt x="12849" y="18995"/>
                  <a:pt x="25670" y="18976"/>
                  <a:pt x="38110" y="19300"/>
                </a:cubicBezTo>
                <a:lnTo>
                  <a:pt x="38567" y="250"/>
                </a:lnTo>
                <a:cubicBezTo>
                  <a:pt x="25803" y="-93"/>
                  <a:pt x="12716" y="-74"/>
                  <a:pt x="0" y="25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9" name="Freeform: Shape 18">
            <a:extLst>
              <a:ext uri="{FF2B5EF4-FFF2-40B4-BE49-F238E27FC236}">
                <a16:creationId xmlns:a16="http://schemas.microsoft.com/office/drawing/2014/main" id="{EB565DB9-4DAF-4850-8992-DEEFC8404F11}"/>
              </a:ext>
            </a:extLst>
          </xdr:cNvPr>
          <xdr:cNvSpPr/>
        </xdr:nvSpPr>
        <xdr:spPr>
          <a:xfrm>
            <a:off x="6124155" y="3143430"/>
            <a:ext cx="42576" cy="31804"/>
          </a:xfrm>
          <a:custGeom>
            <a:avLst/>
            <a:gdLst>
              <a:gd name="connsiteX0" fmla="*/ 0 w 42576"/>
              <a:gd name="connsiteY0" fmla="*/ 18098 h 31804"/>
              <a:gd name="connsiteX1" fmla="*/ 34004 w 42576"/>
              <a:gd name="connsiteY1" fmla="*/ 31804 h 31804"/>
              <a:gd name="connsiteX2" fmla="*/ 42577 w 42576"/>
              <a:gd name="connsiteY2" fmla="*/ 14773 h 31804"/>
              <a:gd name="connsiteX3" fmla="*/ 5963 w 42576"/>
              <a:gd name="connsiteY3" fmla="*/ 0 h 318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576" h="31804">
                <a:moveTo>
                  <a:pt x="0" y="18098"/>
                </a:moveTo>
                <a:cubicBezTo>
                  <a:pt x="11653" y="21832"/>
                  <a:pt x="23018" y="26414"/>
                  <a:pt x="34004" y="31804"/>
                </a:cubicBezTo>
                <a:lnTo>
                  <a:pt x="42577" y="14773"/>
                </a:lnTo>
                <a:cubicBezTo>
                  <a:pt x="30750" y="8960"/>
                  <a:pt x="18512" y="4022"/>
                  <a:pt x="596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0" name="Freeform: Shape 19">
            <a:extLst>
              <a:ext uri="{FF2B5EF4-FFF2-40B4-BE49-F238E27FC236}">
                <a16:creationId xmlns:a16="http://schemas.microsoft.com/office/drawing/2014/main" id="{9C0A589E-C5E1-49EF-AAA7-1AF9A3A6F2F1}"/>
              </a:ext>
            </a:extLst>
          </xdr:cNvPr>
          <xdr:cNvSpPr/>
        </xdr:nvSpPr>
        <xdr:spPr>
          <a:xfrm>
            <a:off x="6058852" y="3127181"/>
            <a:ext cx="41167" cy="26250"/>
          </a:xfrm>
          <a:custGeom>
            <a:avLst/>
            <a:gdLst>
              <a:gd name="connsiteX0" fmla="*/ 0 w 41167"/>
              <a:gd name="connsiteY0" fmla="*/ 18783 h 26250"/>
              <a:gd name="connsiteX1" fmla="*/ 36652 w 41167"/>
              <a:gd name="connsiteY1" fmla="*/ 26251 h 26250"/>
              <a:gd name="connsiteX2" fmla="*/ 41167 w 41167"/>
              <a:gd name="connsiteY2" fmla="*/ 7734 h 26250"/>
              <a:gd name="connsiteX3" fmla="*/ 3143 w 41167"/>
              <a:gd name="connsiteY3" fmla="*/ 0 h 26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1167" h="26250">
                <a:moveTo>
                  <a:pt x="0" y="18783"/>
                </a:moveTo>
                <a:cubicBezTo>
                  <a:pt x="12735" y="20917"/>
                  <a:pt x="25070" y="23422"/>
                  <a:pt x="36652" y="26251"/>
                </a:cubicBezTo>
                <a:lnTo>
                  <a:pt x="41167" y="7734"/>
                </a:lnTo>
                <a:cubicBezTo>
                  <a:pt x="29137" y="4810"/>
                  <a:pt x="16335" y="2200"/>
                  <a:pt x="314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1" name="Freeform: Shape 20">
            <a:extLst>
              <a:ext uri="{FF2B5EF4-FFF2-40B4-BE49-F238E27FC236}">
                <a16:creationId xmlns:a16="http://schemas.microsoft.com/office/drawing/2014/main" id="{CD584002-7E8C-444B-A70D-45E76D76C844}"/>
              </a:ext>
            </a:extLst>
          </xdr:cNvPr>
          <xdr:cNvSpPr/>
        </xdr:nvSpPr>
        <xdr:spPr>
          <a:xfrm>
            <a:off x="5991710" y="3119389"/>
            <a:ext cx="39671" cy="22364"/>
          </a:xfrm>
          <a:custGeom>
            <a:avLst/>
            <a:gdLst>
              <a:gd name="connsiteX0" fmla="*/ 0 w 39671"/>
              <a:gd name="connsiteY0" fmla="*/ 19012 h 22364"/>
              <a:gd name="connsiteX1" fmla="*/ 37452 w 39671"/>
              <a:gd name="connsiteY1" fmla="*/ 22365 h 22364"/>
              <a:gd name="connsiteX2" fmla="*/ 39672 w 39671"/>
              <a:gd name="connsiteY2" fmla="*/ 3448 h 22364"/>
              <a:gd name="connsiteX3" fmla="*/ 1200 w 39671"/>
              <a:gd name="connsiteY3" fmla="*/ 0 h 223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9671" h="22364">
                <a:moveTo>
                  <a:pt x="0" y="19012"/>
                </a:moveTo>
                <a:cubicBezTo>
                  <a:pt x="12668" y="19802"/>
                  <a:pt x="25270" y="20917"/>
                  <a:pt x="37452" y="22365"/>
                </a:cubicBezTo>
                <a:lnTo>
                  <a:pt x="39672" y="3448"/>
                </a:lnTo>
                <a:cubicBezTo>
                  <a:pt x="27146" y="1981"/>
                  <a:pt x="14202" y="819"/>
                  <a:pt x="1200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</xdr:grpSp>
    <xdr:clientData/>
  </xdr:twoCellAnchor>
  <xdr:twoCellAnchor>
    <xdr:from>
      <xdr:col>4</xdr:col>
      <xdr:colOff>571500</xdr:colOff>
      <xdr:row>18</xdr:row>
      <xdr:rowOff>95250</xdr:rowOff>
    </xdr:from>
    <xdr:to>
      <xdr:col>6</xdr:col>
      <xdr:colOff>95250</xdr:colOff>
      <xdr:row>22</xdr:row>
      <xdr:rowOff>76200</xdr:rowOff>
    </xdr:to>
    <xdr:grpSp>
      <xdr:nvGrpSpPr>
        <xdr:cNvPr id="22" name="Graphic 9" descr="Cylinder with solid fill">
          <a:extLst>
            <a:ext uri="{FF2B5EF4-FFF2-40B4-BE49-F238E27FC236}">
              <a16:creationId xmlns:a16="http://schemas.microsoft.com/office/drawing/2014/main" id="{DD167245-6C1B-4802-AC7A-B36CB5AA495C}"/>
            </a:ext>
          </a:extLst>
        </xdr:cNvPr>
        <xdr:cNvGrpSpPr/>
      </xdr:nvGrpSpPr>
      <xdr:grpSpPr>
        <a:xfrm>
          <a:off x="4257675" y="3009900"/>
          <a:ext cx="819150" cy="628650"/>
          <a:chOff x="5651496" y="2628900"/>
          <a:chExt cx="584206" cy="704850"/>
        </a:xfrm>
        <a:solidFill>
          <a:srgbClr val="00B0F0"/>
        </a:solidFill>
      </xdr:grpSpPr>
      <xdr:sp macro="" textlink="">
        <xdr:nvSpPr>
          <xdr:cNvPr id="23" name="Freeform: Shape 22">
            <a:extLst>
              <a:ext uri="{FF2B5EF4-FFF2-40B4-BE49-F238E27FC236}">
                <a16:creationId xmlns:a16="http://schemas.microsoft.com/office/drawing/2014/main" id="{85BDED4A-48B2-4F8A-BD35-A6C7DBE9B18D}"/>
              </a:ext>
            </a:extLst>
          </xdr:cNvPr>
          <xdr:cNvSpPr/>
        </xdr:nvSpPr>
        <xdr:spPr>
          <a:xfrm>
            <a:off x="5651496" y="2628900"/>
            <a:ext cx="584206" cy="704850"/>
          </a:xfrm>
          <a:custGeom>
            <a:avLst/>
            <a:gdLst>
              <a:gd name="connsiteX0" fmla="*/ 292103 w 584206"/>
              <a:gd name="connsiteY0" fmla="*/ 0 h 704850"/>
              <a:gd name="connsiteX1" fmla="*/ 0 w 584206"/>
              <a:gd name="connsiteY1" fmla="*/ 117472 h 704850"/>
              <a:gd name="connsiteX2" fmla="*/ 0 w 584206"/>
              <a:gd name="connsiteY2" fmla="*/ 587378 h 704850"/>
              <a:gd name="connsiteX3" fmla="*/ 292103 w 584206"/>
              <a:gd name="connsiteY3" fmla="*/ 704850 h 704850"/>
              <a:gd name="connsiteX4" fmla="*/ 584206 w 584206"/>
              <a:gd name="connsiteY4" fmla="*/ 587378 h 704850"/>
              <a:gd name="connsiteX5" fmla="*/ 584206 w 584206"/>
              <a:gd name="connsiteY5" fmla="*/ 117472 h 704850"/>
              <a:gd name="connsiteX6" fmla="*/ 292103 w 584206"/>
              <a:gd name="connsiteY6" fmla="*/ 0 h 704850"/>
              <a:gd name="connsiteX7" fmla="*/ 292103 w 584206"/>
              <a:gd name="connsiteY7" fmla="*/ 57150 h 704850"/>
              <a:gd name="connsiteX8" fmla="*/ 527056 w 584206"/>
              <a:gd name="connsiteY8" fmla="*/ 117472 h 704850"/>
              <a:gd name="connsiteX9" fmla="*/ 292103 w 584206"/>
              <a:gd name="connsiteY9" fmla="*/ 177803 h 704850"/>
              <a:gd name="connsiteX10" fmla="*/ 57150 w 584206"/>
              <a:gd name="connsiteY10" fmla="*/ 117472 h 704850"/>
              <a:gd name="connsiteX11" fmla="*/ 292103 w 584206"/>
              <a:gd name="connsiteY11" fmla="*/ 57150 h 704850"/>
              <a:gd name="connsiteX12" fmla="*/ 292103 w 584206"/>
              <a:gd name="connsiteY12" fmla="*/ 647700 h 704850"/>
              <a:gd name="connsiteX13" fmla="*/ 57150 w 584206"/>
              <a:gd name="connsiteY13" fmla="*/ 587378 h 704850"/>
              <a:gd name="connsiteX14" fmla="*/ 57150 w 584206"/>
              <a:gd name="connsiteY14" fmla="*/ 191043 h 704850"/>
              <a:gd name="connsiteX15" fmla="*/ 292103 w 584206"/>
              <a:gd name="connsiteY15" fmla="*/ 234953 h 704850"/>
              <a:gd name="connsiteX16" fmla="*/ 527056 w 584206"/>
              <a:gd name="connsiteY16" fmla="*/ 191043 h 704850"/>
              <a:gd name="connsiteX17" fmla="*/ 527056 w 584206"/>
              <a:gd name="connsiteY17" fmla="*/ 587378 h 704850"/>
              <a:gd name="connsiteX18" fmla="*/ 292103 w 584206"/>
              <a:gd name="connsiteY18" fmla="*/ 647700 h 704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584206" h="704850">
                <a:moveTo>
                  <a:pt x="292103" y="0"/>
                </a:moveTo>
                <a:cubicBezTo>
                  <a:pt x="151419" y="0"/>
                  <a:pt x="0" y="36757"/>
                  <a:pt x="0" y="117472"/>
                </a:cubicBezTo>
                <a:lnTo>
                  <a:pt x="0" y="587378"/>
                </a:lnTo>
                <a:cubicBezTo>
                  <a:pt x="0" y="668093"/>
                  <a:pt x="151419" y="704850"/>
                  <a:pt x="292103" y="704850"/>
                </a:cubicBezTo>
                <a:cubicBezTo>
                  <a:pt x="432787" y="704850"/>
                  <a:pt x="584206" y="668093"/>
                  <a:pt x="584206" y="587378"/>
                </a:cubicBezTo>
                <a:lnTo>
                  <a:pt x="584206" y="117472"/>
                </a:lnTo>
                <a:cubicBezTo>
                  <a:pt x="584206" y="36757"/>
                  <a:pt x="432787" y="0"/>
                  <a:pt x="292103" y="0"/>
                </a:cubicBezTo>
                <a:close/>
                <a:moveTo>
                  <a:pt x="292103" y="57150"/>
                </a:moveTo>
                <a:cubicBezTo>
                  <a:pt x="444722" y="57150"/>
                  <a:pt x="527056" y="100013"/>
                  <a:pt x="527056" y="117472"/>
                </a:cubicBezTo>
                <a:cubicBezTo>
                  <a:pt x="527056" y="134931"/>
                  <a:pt x="444722" y="177803"/>
                  <a:pt x="292103" y="177803"/>
                </a:cubicBezTo>
                <a:cubicBezTo>
                  <a:pt x="139484" y="177803"/>
                  <a:pt x="57150" y="134941"/>
                  <a:pt x="57150" y="117472"/>
                </a:cubicBezTo>
                <a:cubicBezTo>
                  <a:pt x="57150" y="100003"/>
                  <a:pt x="139484" y="57150"/>
                  <a:pt x="292103" y="57150"/>
                </a:cubicBezTo>
                <a:close/>
                <a:moveTo>
                  <a:pt x="292103" y="647700"/>
                </a:moveTo>
                <a:cubicBezTo>
                  <a:pt x="139484" y="647700"/>
                  <a:pt x="57150" y="604838"/>
                  <a:pt x="57150" y="587378"/>
                </a:cubicBezTo>
                <a:lnTo>
                  <a:pt x="57150" y="191043"/>
                </a:lnTo>
                <a:cubicBezTo>
                  <a:pt x="114014" y="220866"/>
                  <a:pt x="205092" y="234953"/>
                  <a:pt x="292103" y="234953"/>
                </a:cubicBezTo>
                <a:cubicBezTo>
                  <a:pt x="379114" y="234953"/>
                  <a:pt x="470221" y="220866"/>
                  <a:pt x="527056" y="191043"/>
                </a:cubicBezTo>
                <a:lnTo>
                  <a:pt x="527056" y="587378"/>
                </a:lnTo>
                <a:cubicBezTo>
                  <a:pt x="527056" y="604838"/>
                  <a:pt x="444722" y="647700"/>
                  <a:pt x="292103" y="64770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4" name="Freeform: Shape 23">
            <a:extLst>
              <a:ext uri="{FF2B5EF4-FFF2-40B4-BE49-F238E27FC236}">
                <a16:creationId xmlns:a16="http://schemas.microsoft.com/office/drawing/2014/main" id="{25E7A822-4807-47BF-8D19-4B9A58D724B7}"/>
              </a:ext>
            </a:extLst>
          </xdr:cNvPr>
          <xdr:cNvSpPr/>
        </xdr:nvSpPr>
        <xdr:spPr>
          <a:xfrm>
            <a:off x="5785561" y="3127448"/>
            <a:ext cx="41205" cy="26355"/>
          </a:xfrm>
          <a:custGeom>
            <a:avLst/>
            <a:gdLst>
              <a:gd name="connsiteX0" fmla="*/ 0 w 41205"/>
              <a:gd name="connsiteY0" fmla="*/ 7868 h 26355"/>
              <a:gd name="connsiteX1" fmla="*/ 4582 w 41205"/>
              <a:gd name="connsiteY1" fmla="*/ 26356 h 26355"/>
              <a:gd name="connsiteX2" fmla="*/ 41205 w 41205"/>
              <a:gd name="connsiteY2" fmla="*/ 18736 h 26355"/>
              <a:gd name="connsiteX3" fmla="*/ 38024 w 41205"/>
              <a:gd name="connsiteY3" fmla="*/ 0 h 26355"/>
              <a:gd name="connsiteX4" fmla="*/ 0 w 41205"/>
              <a:gd name="connsiteY4" fmla="*/ 7868 h 263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1205" h="26355">
                <a:moveTo>
                  <a:pt x="0" y="7868"/>
                </a:moveTo>
                <a:lnTo>
                  <a:pt x="4582" y="26356"/>
                </a:lnTo>
                <a:cubicBezTo>
                  <a:pt x="16107" y="23498"/>
                  <a:pt x="28394" y="20955"/>
                  <a:pt x="41205" y="18736"/>
                </a:cubicBezTo>
                <a:lnTo>
                  <a:pt x="38024" y="0"/>
                </a:lnTo>
                <a:cubicBezTo>
                  <a:pt x="24775" y="2248"/>
                  <a:pt x="11992" y="4896"/>
                  <a:pt x="0" y="7868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5" name="Freeform: Shape 24">
            <a:extLst>
              <a:ext uri="{FF2B5EF4-FFF2-40B4-BE49-F238E27FC236}">
                <a16:creationId xmlns:a16="http://schemas.microsoft.com/office/drawing/2014/main" id="{8CB638D4-F5EF-4749-A19C-A2FD73ADAC2C}"/>
              </a:ext>
            </a:extLst>
          </xdr:cNvPr>
          <xdr:cNvSpPr/>
        </xdr:nvSpPr>
        <xdr:spPr>
          <a:xfrm>
            <a:off x="5854207" y="3119447"/>
            <a:ext cx="39700" cy="22488"/>
          </a:xfrm>
          <a:custGeom>
            <a:avLst/>
            <a:gdLst>
              <a:gd name="connsiteX0" fmla="*/ 0 w 39700"/>
              <a:gd name="connsiteY0" fmla="*/ 3581 h 22488"/>
              <a:gd name="connsiteX1" fmla="*/ 2267 w 39700"/>
              <a:gd name="connsiteY1" fmla="*/ 22489 h 22488"/>
              <a:gd name="connsiteX2" fmla="*/ 39700 w 39700"/>
              <a:gd name="connsiteY2" fmla="*/ 19050 h 22488"/>
              <a:gd name="connsiteX3" fmla="*/ 38462 w 39700"/>
              <a:gd name="connsiteY3" fmla="*/ 0 h 22488"/>
              <a:gd name="connsiteX4" fmla="*/ 0 w 39700"/>
              <a:gd name="connsiteY4" fmla="*/ 3581 h 224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700" h="22488">
                <a:moveTo>
                  <a:pt x="0" y="3581"/>
                </a:moveTo>
                <a:lnTo>
                  <a:pt x="2267" y="22489"/>
                </a:lnTo>
                <a:cubicBezTo>
                  <a:pt x="14430" y="21031"/>
                  <a:pt x="27032" y="19879"/>
                  <a:pt x="39700" y="19050"/>
                </a:cubicBezTo>
                <a:lnTo>
                  <a:pt x="38462" y="0"/>
                </a:lnTo>
                <a:cubicBezTo>
                  <a:pt x="25451" y="886"/>
                  <a:pt x="12506" y="2076"/>
                  <a:pt x="0" y="3581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6" name="Freeform: Shape 25">
            <a:extLst>
              <a:ext uri="{FF2B5EF4-FFF2-40B4-BE49-F238E27FC236}">
                <a16:creationId xmlns:a16="http://schemas.microsoft.com/office/drawing/2014/main" id="{632CD605-A99A-490C-80B5-EF31FA083428}"/>
              </a:ext>
            </a:extLst>
          </xdr:cNvPr>
          <xdr:cNvSpPr/>
        </xdr:nvSpPr>
        <xdr:spPr>
          <a:xfrm>
            <a:off x="5718990" y="3143916"/>
            <a:ext cx="42576" cy="32013"/>
          </a:xfrm>
          <a:custGeom>
            <a:avLst/>
            <a:gdLst>
              <a:gd name="connsiteX0" fmla="*/ 0 w 42576"/>
              <a:gd name="connsiteY0" fmla="*/ 15059 h 32013"/>
              <a:gd name="connsiteX1" fmla="*/ 8696 w 42576"/>
              <a:gd name="connsiteY1" fmla="*/ 32014 h 32013"/>
              <a:gd name="connsiteX2" fmla="*/ 42577 w 42576"/>
              <a:gd name="connsiteY2" fmla="*/ 18098 h 32013"/>
              <a:gd name="connsiteX3" fmla="*/ 36557 w 42576"/>
              <a:gd name="connsiteY3" fmla="*/ 0 h 32013"/>
              <a:gd name="connsiteX4" fmla="*/ 0 w 42576"/>
              <a:gd name="connsiteY4" fmla="*/ 15059 h 3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2576" h="32013">
                <a:moveTo>
                  <a:pt x="0" y="15059"/>
                </a:moveTo>
                <a:lnTo>
                  <a:pt x="8696" y="32014"/>
                </a:lnTo>
                <a:cubicBezTo>
                  <a:pt x="19625" y="26533"/>
                  <a:pt x="30951" y="21881"/>
                  <a:pt x="42577" y="18098"/>
                </a:cubicBezTo>
                <a:lnTo>
                  <a:pt x="36557" y="0"/>
                </a:lnTo>
                <a:cubicBezTo>
                  <a:pt x="24010" y="4094"/>
                  <a:pt x="11790" y="9128"/>
                  <a:pt x="0" y="15059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7" name="Freeform: Shape 26">
            <a:extLst>
              <a:ext uri="{FF2B5EF4-FFF2-40B4-BE49-F238E27FC236}">
                <a16:creationId xmlns:a16="http://schemas.microsoft.com/office/drawing/2014/main" id="{F623BAAB-6D06-49C9-9DC0-DE40855C8771}"/>
              </a:ext>
            </a:extLst>
          </xdr:cNvPr>
          <xdr:cNvSpPr/>
        </xdr:nvSpPr>
        <xdr:spPr>
          <a:xfrm>
            <a:off x="5923511" y="3117853"/>
            <a:ext cx="38566" cy="19300"/>
          </a:xfrm>
          <a:custGeom>
            <a:avLst/>
            <a:gdLst>
              <a:gd name="connsiteX0" fmla="*/ 0 w 38566"/>
              <a:gd name="connsiteY0" fmla="*/ 250 h 19300"/>
              <a:gd name="connsiteX1" fmla="*/ 467 w 38566"/>
              <a:gd name="connsiteY1" fmla="*/ 19300 h 19300"/>
              <a:gd name="connsiteX2" fmla="*/ 38110 w 38566"/>
              <a:gd name="connsiteY2" fmla="*/ 19300 h 19300"/>
              <a:gd name="connsiteX3" fmla="*/ 38567 w 38566"/>
              <a:gd name="connsiteY3" fmla="*/ 250 h 19300"/>
              <a:gd name="connsiteX4" fmla="*/ 0 w 38566"/>
              <a:gd name="connsiteY4" fmla="*/ 250 h 19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8566" h="19300">
                <a:moveTo>
                  <a:pt x="0" y="250"/>
                </a:moveTo>
                <a:lnTo>
                  <a:pt x="467" y="19300"/>
                </a:lnTo>
                <a:cubicBezTo>
                  <a:pt x="12849" y="18995"/>
                  <a:pt x="25670" y="18976"/>
                  <a:pt x="38110" y="19300"/>
                </a:cubicBezTo>
                <a:lnTo>
                  <a:pt x="38567" y="250"/>
                </a:lnTo>
                <a:cubicBezTo>
                  <a:pt x="25803" y="-93"/>
                  <a:pt x="12716" y="-74"/>
                  <a:pt x="0" y="25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8" name="Freeform: Shape 27">
            <a:extLst>
              <a:ext uri="{FF2B5EF4-FFF2-40B4-BE49-F238E27FC236}">
                <a16:creationId xmlns:a16="http://schemas.microsoft.com/office/drawing/2014/main" id="{07D89A06-BC8D-45F3-A8F0-AB10B9E73AEC}"/>
              </a:ext>
            </a:extLst>
          </xdr:cNvPr>
          <xdr:cNvSpPr/>
        </xdr:nvSpPr>
        <xdr:spPr>
          <a:xfrm>
            <a:off x="6124155" y="3143430"/>
            <a:ext cx="42576" cy="31804"/>
          </a:xfrm>
          <a:custGeom>
            <a:avLst/>
            <a:gdLst>
              <a:gd name="connsiteX0" fmla="*/ 0 w 42576"/>
              <a:gd name="connsiteY0" fmla="*/ 18098 h 31804"/>
              <a:gd name="connsiteX1" fmla="*/ 34004 w 42576"/>
              <a:gd name="connsiteY1" fmla="*/ 31804 h 31804"/>
              <a:gd name="connsiteX2" fmla="*/ 42577 w 42576"/>
              <a:gd name="connsiteY2" fmla="*/ 14773 h 31804"/>
              <a:gd name="connsiteX3" fmla="*/ 5963 w 42576"/>
              <a:gd name="connsiteY3" fmla="*/ 0 h 318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576" h="31804">
                <a:moveTo>
                  <a:pt x="0" y="18098"/>
                </a:moveTo>
                <a:cubicBezTo>
                  <a:pt x="11653" y="21832"/>
                  <a:pt x="23018" y="26414"/>
                  <a:pt x="34004" y="31804"/>
                </a:cubicBezTo>
                <a:lnTo>
                  <a:pt x="42577" y="14773"/>
                </a:lnTo>
                <a:cubicBezTo>
                  <a:pt x="30750" y="8960"/>
                  <a:pt x="18512" y="4022"/>
                  <a:pt x="596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9" name="Freeform: Shape 28">
            <a:extLst>
              <a:ext uri="{FF2B5EF4-FFF2-40B4-BE49-F238E27FC236}">
                <a16:creationId xmlns:a16="http://schemas.microsoft.com/office/drawing/2014/main" id="{7905F1E4-48FA-4D4D-B1B6-8E8D71DFF59D}"/>
              </a:ext>
            </a:extLst>
          </xdr:cNvPr>
          <xdr:cNvSpPr/>
        </xdr:nvSpPr>
        <xdr:spPr>
          <a:xfrm>
            <a:off x="6058852" y="3127181"/>
            <a:ext cx="41167" cy="26250"/>
          </a:xfrm>
          <a:custGeom>
            <a:avLst/>
            <a:gdLst>
              <a:gd name="connsiteX0" fmla="*/ 0 w 41167"/>
              <a:gd name="connsiteY0" fmla="*/ 18783 h 26250"/>
              <a:gd name="connsiteX1" fmla="*/ 36652 w 41167"/>
              <a:gd name="connsiteY1" fmla="*/ 26251 h 26250"/>
              <a:gd name="connsiteX2" fmla="*/ 41167 w 41167"/>
              <a:gd name="connsiteY2" fmla="*/ 7734 h 26250"/>
              <a:gd name="connsiteX3" fmla="*/ 3143 w 41167"/>
              <a:gd name="connsiteY3" fmla="*/ 0 h 26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1167" h="26250">
                <a:moveTo>
                  <a:pt x="0" y="18783"/>
                </a:moveTo>
                <a:cubicBezTo>
                  <a:pt x="12735" y="20917"/>
                  <a:pt x="25070" y="23422"/>
                  <a:pt x="36652" y="26251"/>
                </a:cubicBezTo>
                <a:lnTo>
                  <a:pt x="41167" y="7734"/>
                </a:lnTo>
                <a:cubicBezTo>
                  <a:pt x="29137" y="4810"/>
                  <a:pt x="16335" y="2200"/>
                  <a:pt x="314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0" name="Freeform: Shape 29">
            <a:extLst>
              <a:ext uri="{FF2B5EF4-FFF2-40B4-BE49-F238E27FC236}">
                <a16:creationId xmlns:a16="http://schemas.microsoft.com/office/drawing/2014/main" id="{E00C3BCA-D170-433F-B99C-59EC1A8D8A2F}"/>
              </a:ext>
            </a:extLst>
          </xdr:cNvPr>
          <xdr:cNvSpPr/>
        </xdr:nvSpPr>
        <xdr:spPr>
          <a:xfrm>
            <a:off x="5991710" y="3119389"/>
            <a:ext cx="39671" cy="22364"/>
          </a:xfrm>
          <a:custGeom>
            <a:avLst/>
            <a:gdLst>
              <a:gd name="connsiteX0" fmla="*/ 0 w 39671"/>
              <a:gd name="connsiteY0" fmla="*/ 19012 h 22364"/>
              <a:gd name="connsiteX1" fmla="*/ 37452 w 39671"/>
              <a:gd name="connsiteY1" fmla="*/ 22365 h 22364"/>
              <a:gd name="connsiteX2" fmla="*/ 39672 w 39671"/>
              <a:gd name="connsiteY2" fmla="*/ 3448 h 22364"/>
              <a:gd name="connsiteX3" fmla="*/ 1200 w 39671"/>
              <a:gd name="connsiteY3" fmla="*/ 0 h 223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9671" h="22364">
                <a:moveTo>
                  <a:pt x="0" y="19012"/>
                </a:moveTo>
                <a:cubicBezTo>
                  <a:pt x="12668" y="19802"/>
                  <a:pt x="25270" y="20917"/>
                  <a:pt x="37452" y="22365"/>
                </a:cubicBezTo>
                <a:lnTo>
                  <a:pt x="39672" y="3448"/>
                </a:lnTo>
                <a:cubicBezTo>
                  <a:pt x="27146" y="1981"/>
                  <a:pt x="14202" y="819"/>
                  <a:pt x="1200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5</xdr:col>
      <xdr:colOff>0</xdr:colOff>
      <xdr:row>11</xdr:row>
      <xdr:rowOff>133350</xdr:rowOff>
    </xdr:from>
    <xdr:to>
      <xdr:col>5</xdr:col>
      <xdr:colOff>476249</xdr:colOff>
      <xdr:row>19</xdr:row>
      <xdr:rowOff>133350</xdr:rowOff>
    </xdr:to>
    <xdr:pic>
      <xdr:nvPicPr>
        <xdr:cNvPr id="31" name="Graphic 30" descr="Arrow: Rotate right with solid fill">
          <a:extLst>
            <a:ext uri="{FF2B5EF4-FFF2-40B4-BE49-F238E27FC236}">
              <a16:creationId xmlns:a16="http://schemas.microsoft.com/office/drawing/2014/main" id="{A0D98524-D81E-48DA-9791-FB7B93D23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09925" y="2238375"/>
          <a:ext cx="476249" cy="1295400"/>
        </a:xfrm>
        <a:prstGeom prst="rect">
          <a:avLst/>
        </a:prstGeom>
      </xdr:spPr>
    </xdr:pic>
    <xdr:clientData/>
  </xdr:twoCellAnchor>
  <xdr:twoCellAnchor>
    <xdr:from>
      <xdr:col>5</xdr:col>
      <xdr:colOff>571499</xdr:colOff>
      <xdr:row>22</xdr:row>
      <xdr:rowOff>123825</xdr:rowOff>
    </xdr:from>
    <xdr:to>
      <xdr:col>7</xdr:col>
      <xdr:colOff>85725</xdr:colOff>
      <xdr:row>26</xdr:row>
      <xdr:rowOff>76200</xdr:rowOff>
    </xdr:to>
    <xdr:grpSp>
      <xdr:nvGrpSpPr>
        <xdr:cNvPr id="32" name="Graphic 9" descr="Cylinder with solid fill">
          <a:extLst>
            <a:ext uri="{FF2B5EF4-FFF2-40B4-BE49-F238E27FC236}">
              <a16:creationId xmlns:a16="http://schemas.microsoft.com/office/drawing/2014/main" id="{50692856-E7AC-4C5A-8137-0F3C6B83E5C5}"/>
            </a:ext>
          </a:extLst>
        </xdr:cNvPr>
        <xdr:cNvGrpSpPr/>
      </xdr:nvGrpSpPr>
      <xdr:grpSpPr>
        <a:xfrm>
          <a:off x="4905374" y="3686175"/>
          <a:ext cx="809626" cy="600075"/>
          <a:chOff x="5651496" y="2628900"/>
          <a:chExt cx="584206" cy="704850"/>
        </a:xfrm>
        <a:solidFill>
          <a:srgbClr val="00B0F0"/>
        </a:solidFill>
      </xdr:grpSpPr>
      <xdr:sp macro="" textlink="">
        <xdr:nvSpPr>
          <xdr:cNvPr id="33" name="Freeform: Shape 32">
            <a:extLst>
              <a:ext uri="{FF2B5EF4-FFF2-40B4-BE49-F238E27FC236}">
                <a16:creationId xmlns:a16="http://schemas.microsoft.com/office/drawing/2014/main" id="{0C7D0539-4EB8-4A93-88F4-D3B454520AD3}"/>
              </a:ext>
            </a:extLst>
          </xdr:cNvPr>
          <xdr:cNvSpPr/>
        </xdr:nvSpPr>
        <xdr:spPr>
          <a:xfrm>
            <a:off x="5651496" y="2628900"/>
            <a:ext cx="584206" cy="704850"/>
          </a:xfrm>
          <a:custGeom>
            <a:avLst/>
            <a:gdLst>
              <a:gd name="connsiteX0" fmla="*/ 292103 w 584206"/>
              <a:gd name="connsiteY0" fmla="*/ 0 h 704850"/>
              <a:gd name="connsiteX1" fmla="*/ 0 w 584206"/>
              <a:gd name="connsiteY1" fmla="*/ 117472 h 704850"/>
              <a:gd name="connsiteX2" fmla="*/ 0 w 584206"/>
              <a:gd name="connsiteY2" fmla="*/ 587378 h 704850"/>
              <a:gd name="connsiteX3" fmla="*/ 292103 w 584206"/>
              <a:gd name="connsiteY3" fmla="*/ 704850 h 704850"/>
              <a:gd name="connsiteX4" fmla="*/ 584206 w 584206"/>
              <a:gd name="connsiteY4" fmla="*/ 587378 h 704850"/>
              <a:gd name="connsiteX5" fmla="*/ 584206 w 584206"/>
              <a:gd name="connsiteY5" fmla="*/ 117472 h 704850"/>
              <a:gd name="connsiteX6" fmla="*/ 292103 w 584206"/>
              <a:gd name="connsiteY6" fmla="*/ 0 h 704850"/>
              <a:gd name="connsiteX7" fmla="*/ 292103 w 584206"/>
              <a:gd name="connsiteY7" fmla="*/ 57150 h 704850"/>
              <a:gd name="connsiteX8" fmla="*/ 527056 w 584206"/>
              <a:gd name="connsiteY8" fmla="*/ 117472 h 704850"/>
              <a:gd name="connsiteX9" fmla="*/ 292103 w 584206"/>
              <a:gd name="connsiteY9" fmla="*/ 177803 h 704850"/>
              <a:gd name="connsiteX10" fmla="*/ 57150 w 584206"/>
              <a:gd name="connsiteY10" fmla="*/ 117472 h 704850"/>
              <a:gd name="connsiteX11" fmla="*/ 292103 w 584206"/>
              <a:gd name="connsiteY11" fmla="*/ 57150 h 704850"/>
              <a:gd name="connsiteX12" fmla="*/ 292103 w 584206"/>
              <a:gd name="connsiteY12" fmla="*/ 647700 h 704850"/>
              <a:gd name="connsiteX13" fmla="*/ 57150 w 584206"/>
              <a:gd name="connsiteY13" fmla="*/ 587378 h 704850"/>
              <a:gd name="connsiteX14" fmla="*/ 57150 w 584206"/>
              <a:gd name="connsiteY14" fmla="*/ 191043 h 704850"/>
              <a:gd name="connsiteX15" fmla="*/ 292103 w 584206"/>
              <a:gd name="connsiteY15" fmla="*/ 234953 h 704850"/>
              <a:gd name="connsiteX16" fmla="*/ 527056 w 584206"/>
              <a:gd name="connsiteY16" fmla="*/ 191043 h 704850"/>
              <a:gd name="connsiteX17" fmla="*/ 527056 w 584206"/>
              <a:gd name="connsiteY17" fmla="*/ 587378 h 704850"/>
              <a:gd name="connsiteX18" fmla="*/ 292103 w 584206"/>
              <a:gd name="connsiteY18" fmla="*/ 647700 h 704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584206" h="704850">
                <a:moveTo>
                  <a:pt x="292103" y="0"/>
                </a:moveTo>
                <a:cubicBezTo>
                  <a:pt x="151419" y="0"/>
                  <a:pt x="0" y="36757"/>
                  <a:pt x="0" y="117472"/>
                </a:cubicBezTo>
                <a:lnTo>
                  <a:pt x="0" y="587378"/>
                </a:lnTo>
                <a:cubicBezTo>
                  <a:pt x="0" y="668093"/>
                  <a:pt x="151419" y="704850"/>
                  <a:pt x="292103" y="704850"/>
                </a:cubicBezTo>
                <a:cubicBezTo>
                  <a:pt x="432787" y="704850"/>
                  <a:pt x="584206" y="668093"/>
                  <a:pt x="584206" y="587378"/>
                </a:cubicBezTo>
                <a:lnTo>
                  <a:pt x="584206" y="117472"/>
                </a:lnTo>
                <a:cubicBezTo>
                  <a:pt x="584206" y="36757"/>
                  <a:pt x="432787" y="0"/>
                  <a:pt x="292103" y="0"/>
                </a:cubicBezTo>
                <a:close/>
                <a:moveTo>
                  <a:pt x="292103" y="57150"/>
                </a:moveTo>
                <a:cubicBezTo>
                  <a:pt x="444722" y="57150"/>
                  <a:pt x="527056" y="100013"/>
                  <a:pt x="527056" y="117472"/>
                </a:cubicBezTo>
                <a:cubicBezTo>
                  <a:pt x="527056" y="134931"/>
                  <a:pt x="444722" y="177803"/>
                  <a:pt x="292103" y="177803"/>
                </a:cubicBezTo>
                <a:cubicBezTo>
                  <a:pt x="139484" y="177803"/>
                  <a:pt x="57150" y="134941"/>
                  <a:pt x="57150" y="117472"/>
                </a:cubicBezTo>
                <a:cubicBezTo>
                  <a:pt x="57150" y="100003"/>
                  <a:pt x="139484" y="57150"/>
                  <a:pt x="292103" y="57150"/>
                </a:cubicBezTo>
                <a:close/>
                <a:moveTo>
                  <a:pt x="292103" y="647700"/>
                </a:moveTo>
                <a:cubicBezTo>
                  <a:pt x="139484" y="647700"/>
                  <a:pt x="57150" y="604838"/>
                  <a:pt x="57150" y="587378"/>
                </a:cubicBezTo>
                <a:lnTo>
                  <a:pt x="57150" y="191043"/>
                </a:lnTo>
                <a:cubicBezTo>
                  <a:pt x="114014" y="220866"/>
                  <a:pt x="205092" y="234953"/>
                  <a:pt x="292103" y="234953"/>
                </a:cubicBezTo>
                <a:cubicBezTo>
                  <a:pt x="379114" y="234953"/>
                  <a:pt x="470221" y="220866"/>
                  <a:pt x="527056" y="191043"/>
                </a:cubicBezTo>
                <a:lnTo>
                  <a:pt x="527056" y="587378"/>
                </a:lnTo>
                <a:cubicBezTo>
                  <a:pt x="527056" y="604838"/>
                  <a:pt x="444722" y="647700"/>
                  <a:pt x="292103" y="64770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4" name="Freeform: Shape 33">
            <a:extLst>
              <a:ext uri="{FF2B5EF4-FFF2-40B4-BE49-F238E27FC236}">
                <a16:creationId xmlns:a16="http://schemas.microsoft.com/office/drawing/2014/main" id="{64C59D3B-4BCB-431A-AB17-DC7A5CB210A0}"/>
              </a:ext>
            </a:extLst>
          </xdr:cNvPr>
          <xdr:cNvSpPr/>
        </xdr:nvSpPr>
        <xdr:spPr>
          <a:xfrm>
            <a:off x="5785561" y="3127448"/>
            <a:ext cx="41205" cy="26355"/>
          </a:xfrm>
          <a:custGeom>
            <a:avLst/>
            <a:gdLst>
              <a:gd name="connsiteX0" fmla="*/ 0 w 41205"/>
              <a:gd name="connsiteY0" fmla="*/ 7868 h 26355"/>
              <a:gd name="connsiteX1" fmla="*/ 4582 w 41205"/>
              <a:gd name="connsiteY1" fmla="*/ 26356 h 26355"/>
              <a:gd name="connsiteX2" fmla="*/ 41205 w 41205"/>
              <a:gd name="connsiteY2" fmla="*/ 18736 h 26355"/>
              <a:gd name="connsiteX3" fmla="*/ 38024 w 41205"/>
              <a:gd name="connsiteY3" fmla="*/ 0 h 26355"/>
              <a:gd name="connsiteX4" fmla="*/ 0 w 41205"/>
              <a:gd name="connsiteY4" fmla="*/ 7868 h 263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1205" h="26355">
                <a:moveTo>
                  <a:pt x="0" y="7868"/>
                </a:moveTo>
                <a:lnTo>
                  <a:pt x="4582" y="26356"/>
                </a:lnTo>
                <a:cubicBezTo>
                  <a:pt x="16107" y="23498"/>
                  <a:pt x="28394" y="20955"/>
                  <a:pt x="41205" y="18736"/>
                </a:cubicBezTo>
                <a:lnTo>
                  <a:pt x="38024" y="0"/>
                </a:lnTo>
                <a:cubicBezTo>
                  <a:pt x="24775" y="2248"/>
                  <a:pt x="11992" y="4896"/>
                  <a:pt x="0" y="7868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5" name="Freeform: Shape 34">
            <a:extLst>
              <a:ext uri="{FF2B5EF4-FFF2-40B4-BE49-F238E27FC236}">
                <a16:creationId xmlns:a16="http://schemas.microsoft.com/office/drawing/2014/main" id="{A2880202-77D1-480F-83FE-9EC6787FB31A}"/>
              </a:ext>
            </a:extLst>
          </xdr:cNvPr>
          <xdr:cNvSpPr/>
        </xdr:nvSpPr>
        <xdr:spPr>
          <a:xfrm>
            <a:off x="5854207" y="3119447"/>
            <a:ext cx="39700" cy="22488"/>
          </a:xfrm>
          <a:custGeom>
            <a:avLst/>
            <a:gdLst>
              <a:gd name="connsiteX0" fmla="*/ 0 w 39700"/>
              <a:gd name="connsiteY0" fmla="*/ 3581 h 22488"/>
              <a:gd name="connsiteX1" fmla="*/ 2267 w 39700"/>
              <a:gd name="connsiteY1" fmla="*/ 22489 h 22488"/>
              <a:gd name="connsiteX2" fmla="*/ 39700 w 39700"/>
              <a:gd name="connsiteY2" fmla="*/ 19050 h 22488"/>
              <a:gd name="connsiteX3" fmla="*/ 38462 w 39700"/>
              <a:gd name="connsiteY3" fmla="*/ 0 h 22488"/>
              <a:gd name="connsiteX4" fmla="*/ 0 w 39700"/>
              <a:gd name="connsiteY4" fmla="*/ 3581 h 224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700" h="22488">
                <a:moveTo>
                  <a:pt x="0" y="3581"/>
                </a:moveTo>
                <a:lnTo>
                  <a:pt x="2267" y="22489"/>
                </a:lnTo>
                <a:cubicBezTo>
                  <a:pt x="14430" y="21031"/>
                  <a:pt x="27032" y="19879"/>
                  <a:pt x="39700" y="19050"/>
                </a:cubicBezTo>
                <a:lnTo>
                  <a:pt x="38462" y="0"/>
                </a:lnTo>
                <a:cubicBezTo>
                  <a:pt x="25451" y="886"/>
                  <a:pt x="12506" y="2076"/>
                  <a:pt x="0" y="3581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6" name="Freeform: Shape 35">
            <a:extLst>
              <a:ext uri="{FF2B5EF4-FFF2-40B4-BE49-F238E27FC236}">
                <a16:creationId xmlns:a16="http://schemas.microsoft.com/office/drawing/2014/main" id="{6A26CCB8-205F-42D6-B4A1-13989029BD2E}"/>
              </a:ext>
            </a:extLst>
          </xdr:cNvPr>
          <xdr:cNvSpPr/>
        </xdr:nvSpPr>
        <xdr:spPr>
          <a:xfrm>
            <a:off x="5718990" y="3143916"/>
            <a:ext cx="42576" cy="32013"/>
          </a:xfrm>
          <a:custGeom>
            <a:avLst/>
            <a:gdLst>
              <a:gd name="connsiteX0" fmla="*/ 0 w 42576"/>
              <a:gd name="connsiteY0" fmla="*/ 15059 h 32013"/>
              <a:gd name="connsiteX1" fmla="*/ 8696 w 42576"/>
              <a:gd name="connsiteY1" fmla="*/ 32014 h 32013"/>
              <a:gd name="connsiteX2" fmla="*/ 42577 w 42576"/>
              <a:gd name="connsiteY2" fmla="*/ 18098 h 32013"/>
              <a:gd name="connsiteX3" fmla="*/ 36557 w 42576"/>
              <a:gd name="connsiteY3" fmla="*/ 0 h 32013"/>
              <a:gd name="connsiteX4" fmla="*/ 0 w 42576"/>
              <a:gd name="connsiteY4" fmla="*/ 15059 h 3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2576" h="32013">
                <a:moveTo>
                  <a:pt x="0" y="15059"/>
                </a:moveTo>
                <a:lnTo>
                  <a:pt x="8696" y="32014"/>
                </a:lnTo>
                <a:cubicBezTo>
                  <a:pt x="19625" y="26533"/>
                  <a:pt x="30951" y="21881"/>
                  <a:pt x="42577" y="18098"/>
                </a:cubicBezTo>
                <a:lnTo>
                  <a:pt x="36557" y="0"/>
                </a:lnTo>
                <a:cubicBezTo>
                  <a:pt x="24010" y="4094"/>
                  <a:pt x="11790" y="9128"/>
                  <a:pt x="0" y="15059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7" name="Freeform: Shape 36">
            <a:extLst>
              <a:ext uri="{FF2B5EF4-FFF2-40B4-BE49-F238E27FC236}">
                <a16:creationId xmlns:a16="http://schemas.microsoft.com/office/drawing/2014/main" id="{B9C122D8-34FF-439A-9BF3-0B1397993E2B}"/>
              </a:ext>
            </a:extLst>
          </xdr:cNvPr>
          <xdr:cNvSpPr/>
        </xdr:nvSpPr>
        <xdr:spPr>
          <a:xfrm>
            <a:off x="5923511" y="3117853"/>
            <a:ext cx="38566" cy="19300"/>
          </a:xfrm>
          <a:custGeom>
            <a:avLst/>
            <a:gdLst>
              <a:gd name="connsiteX0" fmla="*/ 0 w 38566"/>
              <a:gd name="connsiteY0" fmla="*/ 250 h 19300"/>
              <a:gd name="connsiteX1" fmla="*/ 467 w 38566"/>
              <a:gd name="connsiteY1" fmla="*/ 19300 h 19300"/>
              <a:gd name="connsiteX2" fmla="*/ 38110 w 38566"/>
              <a:gd name="connsiteY2" fmla="*/ 19300 h 19300"/>
              <a:gd name="connsiteX3" fmla="*/ 38567 w 38566"/>
              <a:gd name="connsiteY3" fmla="*/ 250 h 19300"/>
              <a:gd name="connsiteX4" fmla="*/ 0 w 38566"/>
              <a:gd name="connsiteY4" fmla="*/ 250 h 19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8566" h="19300">
                <a:moveTo>
                  <a:pt x="0" y="250"/>
                </a:moveTo>
                <a:lnTo>
                  <a:pt x="467" y="19300"/>
                </a:lnTo>
                <a:cubicBezTo>
                  <a:pt x="12849" y="18995"/>
                  <a:pt x="25670" y="18976"/>
                  <a:pt x="38110" y="19300"/>
                </a:cubicBezTo>
                <a:lnTo>
                  <a:pt x="38567" y="250"/>
                </a:lnTo>
                <a:cubicBezTo>
                  <a:pt x="25803" y="-93"/>
                  <a:pt x="12716" y="-74"/>
                  <a:pt x="0" y="25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8" name="Freeform: Shape 37">
            <a:extLst>
              <a:ext uri="{FF2B5EF4-FFF2-40B4-BE49-F238E27FC236}">
                <a16:creationId xmlns:a16="http://schemas.microsoft.com/office/drawing/2014/main" id="{85A5D217-0A0D-461C-9A34-C93F704E9A82}"/>
              </a:ext>
            </a:extLst>
          </xdr:cNvPr>
          <xdr:cNvSpPr/>
        </xdr:nvSpPr>
        <xdr:spPr>
          <a:xfrm>
            <a:off x="6124155" y="3143430"/>
            <a:ext cx="42576" cy="31804"/>
          </a:xfrm>
          <a:custGeom>
            <a:avLst/>
            <a:gdLst>
              <a:gd name="connsiteX0" fmla="*/ 0 w 42576"/>
              <a:gd name="connsiteY0" fmla="*/ 18098 h 31804"/>
              <a:gd name="connsiteX1" fmla="*/ 34004 w 42576"/>
              <a:gd name="connsiteY1" fmla="*/ 31804 h 31804"/>
              <a:gd name="connsiteX2" fmla="*/ 42577 w 42576"/>
              <a:gd name="connsiteY2" fmla="*/ 14773 h 31804"/>
              <a:gd name="connsiteX3" fmla="*/ 5963 w 42576"/>
              <a:gd name="connsiteY3" fmla="*/ 0 h 318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576" h="31804">
                <a:moveTo>
                  <a:pt x="0" y="18098"/>
                </a:moveTo>
                <a:cubicBezTo>
                  <a:pt x="11653" y="21832"/>
                  <a:pt x="23018" y="26414"/>
                  <a:pt x="34004" y="31804"/>
                </a:cubicBezTo>
                <a:lnTo>
                  <a:pt x="42577" y="14773"/>
                </a:lnTo>
                <a:cubicBezTo>
                  <a:pt x="30750" y="8960"/>
                  <a:pt x="18512" y="4022"/>
                  <a:pt x="596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9" name="Freeform: Shape 38">
            <a:extLst>
              <a:ext uri="{FF2B5EF4-FFF2-40B4-BE49-F238E27FC236}">
                <a16:creationId xmlns:a16="http://schemas.microsoft.com/office/drawing/2014/main" id="{B387B1B1-FAC4-4785-BF97-72A5856F04B3}"/>
              </a:ext>
            </a:extLst>
          </xdr:cNvPr>
          <xdr:cNvSpPr/>
        </xdr:nvSpPr>
        <xdr:spPr>
          <a:xfrm>
            <a:off x="6058852" y="3127181"/>
            <a:ext cx="41167" cy="26250"/>
          </a:xfrm>
          <a:custGeom>
            <a:avLst/>
            <a:gdLst>
              <a:gd name="connsiteX0" fmla="*/ 0 w 41167"/>
              <a:gd name="connsiteY0" fmla="*/ 18783 h 26250"/>
              <a:gd name="connsiteX1" fmla="*/ 36652 w 41167"/>
              <a:gd name="connsiteY1" fmla="*/ 26251 h 26250"/>
              <a:gd name="connsiteX2" fmla="*/ 41167 w 41167"/>
              <a:gd name="connsiteY2" fmla="*/ 7734 h 26250"/>
              <a:gd name="connsiteX3" fmla="*/ 3143 w 41167"/>
              <a:gd name="connsiteY3" fmla="*/ 0 h 26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1167" h="26250">
                <a:moveTo>
                  <a:pt x="0" y="18783"/>
                </a:moveTo>
                <a:cubicBezTo>
                  <a:pt x="12735" y="20917"/>
                  <a:pt x="25070" y="23422"/>
                  <a:pt x="36652" y="26251"/>
                </a:cubicBezTo>
                <a:lnTo>
                  <a:pt x="41167" y="7734"/>
                </a:lnTo>
                <a:cubicBezTo>
                  <a:pt x="29137" y="4810"/>
                  <a:pt x="16335" y="2200"/>
                  <a:pt x="314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0" name="Freeform: Shape 39">
            <a:extLst>
              <a:ext uri="{FF2B5EF4-FFF2-40B4-BE49-F238E27FC236}">
                <a16:creationId xmlns:a16="http://schemas.microsoft.com/office/drawing/2014/main" id="{B2FD3CB6-FFAE-4DA8-B4F4-E74FC2054F3B}"/>
              </a:ext>
            </a:extLst>
          </xdr:cNvPr>
          <xdr:cNvSpPr/>
        </xdr:nvSpPr>
        <xdr:spPr>
          <a:xfrm>
            <a:off x="5991710" y="3119389"/>
            <a:ext cx="39671" cy="22364"/>
          </a:xfrm>
          <a:custGeom>
            <a:avLst/>
            <a:gdLst>
              <a:gd name="connsiteX0" fmla="*/ 0 w 39671"/>
              <a:gd name="connsiteY0" fmla="*/ 19012 h 22364"/>
              <a:gd name="connsiteX1" fmla="*/ 37452 w 39671"/>
              <a:gd name="connsiteY1" fmla="*/ 22365 h 22364"/>
              <a:gd name="connsiteX2" fmla="*/ 39672 w 39671"/>
              <a:gd name="connsiteY2" fmla="*/ 3448 h 22364"/>
              <a:gd name="connsiteX3" fmla="*/ 1200 w 39671"/>
              <a:gd name="connsiteY3" fmla="*/ 0 h 223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9671" h="22364">
                <a:moveTo>
                  <a:pt x="0" y="19012"/>
                </a:moveTo>
                <a:cubicBezTo>
                  <a:pt x="12668" y="19802"/>
                  <a:pt x="25270" y="20917"/>
                  <a:pt x="37452" y="22365"/>
                </a:cubicBezTo>
                <a:lnTo>
                  <a:pt x="39672" y="3448"/>
                </a:lnTo>
                <a:cubicBezTo>
                  <a:pt x="27146" y="1981"/>
                  <a:pt x="14202" y="819"/>
                  <a:pt x="1200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6</xdr:col>
      <xdr:colOff>0</xdr:colOff>
      <xdr:row>15</xdr:row>
      <xdr:rowOff>114300</xdr:rowOff>
    </xdr:from>
    <xdr:to>
      <xdr:col>6</xdr:col>
      <xdr:colOff>476249</xdr:colOff>
      <xdr:row>23</xdr:row>
      <xdr:rowOff>114300</xdr:rowOff>
    </xdr:to>
    <xdr:pic>
      <xdr:nvPicPr>
        <xdr:cNvPr id="41" name="Graphic 40" descr="Arrow: Rotate right with solid fill">
          <a:extLst>
            <a:ext uri="{FF2B5EF4-FFF2-40B4-BE49-F238E27FC236}">
              <a16:creationId xmlns:a16="http://schemas.microsoft.com/office/drawing/2014/main" id="{7EC63094-3D21-4E70-8FD1-59620A828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19525" y="2895600"/>
          <a:ext cx="476249" cy="1295400"/>
        </a:xfrm>
        <a:prstGeom prst="rect">
          <a:avLst/>
        </a:prstGeom>
      </xdr:spPr>
    </xdr:pic>
    <xdr:clientData/>
  </xdr:twoCellAnchor>
  <xdr:twoCellAnchor>
    <xdr:from>
      <xdr:col>6</xdr:col>
      <xdr:colOff>571499</xdr:colOff>
      <xdr:row>26</xdr:row>
      <xdr:rowOff>104775</xdr:rowOff>
    </xdr:from>
    <xdr:to>
      <xdr:col>8</xdr:col>
      <xdr:colOff>95250</xdr:colOff>
      <xdr:row>30</xdr:row>
      <xdr:rowOff>85725</xdr:rowOff>
    </xdr:to>
    <xdr:grpSp>
      <xdr:nvGrpSpPr>
        <xdr:cNvPr id="42" name="Graphic 9" descr="Cylinder with solid fill">
          <a:extLst>
            <a:ext uri="{FF2B5EF4-FFF2-40B4-BE49-F238E27FC236}">
              <a16:creationId xmlns:a16="http://schemas.microsoft.com/office/drawing/2014/main" id="{4FF815B5-F241-4FC0-A863-6EEF504617C1}"/>
            </a:ext>
          </a:extLst>
        </xdr:cNvPr>
        <xdr:cNvGrpSpPr/>
      </xdr:nvGrpSpPr>
      <xdr:grpSpPr>
        <a:xfrm>
          <a:off x="5553074" y="4314825"/>
          <a:ext cx="819151" cy="628650"/>
          <a:chOff x="5651496" y="2628900"/>
          <a:chExt cx="584206" cy="704850"/>
        </a:xfrm>
        <a:solidFill>
          <a:srgbClr val="00B0F0"/>
        </a:solidFill>
      </xdr:grpSpPr>
      <xdr:sp macro="" textlink="">
        <xdr:nvSpPr>
          <xdr:cNvPr id="43" name="Freeform: Shape 42">
            <a:extLst>
              <a:ext uri="{FF2B5EF4-FFF2-40B4-BE49-F238E27FC236}">
                <a16:creationId xmlns:a16="http://schemas.microsoft.com/office/drawing/2014/main" id="{E5B7E442-40BA-40C4-8D4B-7EAD6F8190A9}"/>
              </a:ext>
            </a:extLst>
          </xdr:cNvPr>
          <xdr:cNvSpPr/>
        </xdr:nvSpPr>
        <xdr:spPr>
          <a:xfrm>
            <a:off x="5651496" y="2628900"/>
            <a:ext cx="584206" cy="704850"/>
          </a:xfrm>
          <a:custGeom>
            <a:avLst/>
            <a:gdLst>
              <a:gd name="connsiteX0" fmla="*/ 292103 w 584206"/>
              <a:gd name="connsiteY0" fmla="*/ 0 h 704850"/>
              <a:gd name="connsiteX1" fmla="*/ 0 w 584206"/>
              <a:gd name="connsiteY1" fmla="*/ 117472 h 704850"/>
              <a:gd name="connsiteX2" fmla="*/ 0 w 584206"/>
              <a:gd name="connsiteY2" fmla="*/ 587378 h 704850"/>
              <a:gd name="connsiteX3" fmla="*/ 292103 w 584206"/>
              <a:gd name="connsiteY3" fmla="*/ 704850 h 704850"/>
              <a:gd name="connsiteX4" fmla="*/ 584206 w 584206"/>
              <a:gd name="connsiteY4" fmla="*/ 587378 h 704850"/>
              <a:gd name="connsiteX5" fmla="*/ 584206 w 584206"/>
              <a:gd name="connsiteY5" fmla="*/ 117472 h 704850"/>
              <a:gd name="connsiteX6" fmla="*/ 292103 w 584206"/>
              <a:gd name="connsiteY6" fmla="*/ 0 h 704850"/>
              <a:gd name="connsiteX7" fmla="*/ 292103 w 584206"/>
              <a:gd name="connsiteY7" fmla="*/ 57150 h 704850"/>
              <a:gd name="connsiteX8" fmla="*/ 527056 w 584206"/>
              <a:gd name="connsiteY8" fmla="*/ 117472 h 704850"/>
              <a:gd name="connsiteX9" fmla="*/ 292103 w 584206"/>
              <a:gd name="connsiteY9" fmla="*/ 177803 h 704850"/>
              <a:gd name="connsiteX10" fmla="*/ 57150 w 584206"/>
              <a:gd name="connsiteY10" fmla="*/ 117472 h 704850"/>
              <a:gd name="connsiteX11" fmla="*/ 292103 w 584206"/>
              <a:gd name="connsiteY11" fmla="*/ 57150 h 704850"/>
              <a:gd name="connsiteX12" fmla="*/ 292103 w 584206"/>
              <a:gd name="connsiteY12" fmla="*/ 647700 h 704850"/>
              <a:gd name="connsiteX13" fmla="*/ 57150 w 584206"/>
              <a:gd name="connsiteY13" fmla="*/ 587378 h 704850"/>
              <a:gd name="connsiteX14" fmla="*/ 57150 w 584206"/>
              <a:gd name="connsiteY14" fmla="*/ 191043 h 704850"/>
              <a:gd name="connsiteX15" fmla="*/ 292103 w 584206"/>
              <a:gd name="connsiteY15" fmla="*/ 234953 h 704850"/>
              <a:gd name="connsiteX16" fmla="*/ 527056 w 584206"/>
              <a:gd name="connsiteY16" fmla="*/ 191043 h 704850"/>
              <a:gd name="connsiteX17" fmla="*/ 527056 w 584206"/>
              <a:gd name="connsiteY17" fmla="*/ 587378 h 704850"/>
              <a:gd name="connsiteX18" fmla="*/ 292103 w 584206"/>
              <a:gd name="connsiteY18" fmla="*/ 647700 h 704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584206" h="704850">
                <a:moveTo>
                  <a:pt x="292103" y="0"/>
                </a:moveTo>
                <a:cubicBezTo>
                  <a:pt x="151419" y="0"/>
                  <a:pt x="0" y="36757"/>
                  <a:pt x="0" y="117472"/>
                </a:cubicBezTo>
                <a:lnTo>
                  <a:pt x="0" y="587378"/>
                </a:lnTo>
                <a:cubicBezTo>
                  <a:pt x="0" y="668093"/>
                  <a:pt x="151419" y="704850"/>
                  <a:pt x="292103" y="704850"/>
                </a:cubicBezTo>
                <a:cubicBezTo>
                  <a:pt x="432787" y="704850"/>
                  <a:pt x="584206" y="668093"/>
                  <a:pt x="584206" y="587378"/>
                </a:cubicBezTo>
                <a:lnTo>
                  <a:pt x="584206" y="117472"/>
                </a:lnTo>
                <a:cubicBezTo>
                  <a:pt x="584206" y="36757"/>
                  <a:pt x="432787" y="0"/>
                  <a:pt x="292103" y="0"/>
                </a:cubicBezTo>
                <a:close/>
                <a:moveTo>
                  <a:pt x="292103" y="57150"/>
                </a:moveTo>
                <a:cubicBezTo>
                  <a:pt x="444722" y="57150"/>
                  <a:pt x="527056" y="100013"/>
                  <a:pt x="527056" y="117472"/>
                </a:cubicBezTo>
                <a:cubicBezTo>
                  <a:pt x="527056" y="134931"/>
                  <a:pt x="444722" y="177803"/>
                  <a:pt x="292103" y="177803"/>
                </a:cubicBezTo>
                <a:cubicBezTo>
                  <a:pt x="139484" y="177803"/>
                  <a:pt x="57150" y="134941"/>
                  <a:pt x="57150" y="117472"/>
                </a:cubicBezTo>
                <a:cubicBezTo>
                  <a:pt x="57150" y="100003"/>
                  <a:pt x="139484" y="57150"/>
                  <a:pt x="292103" y="57150"/>
                </a:cubicBezTo>
                <a:close/>
                <a:moveTo>
                  <a:pt x="292103" y="647700"/>
                </a:moveTo>
                <a:cubicBezTo>
                  <a:pt x="139484" y="647700"/>
                  <a:pt x="57150" y="604838"/>
                  <a:pt x="57150" y="587378"/>
                </a:cubicBezTo>
                <a:lnTo>
                  <a:pt x="57150" y="191043"/>
                </a:lnTo>
                <a:cubicBezTo>
                  <a:pt x="114014" y="220866"/>
                  <a:pt x="205092" y="234953"/>
                  <a:pt x="292103" y="234953"/>
                </a:cubicBezTo>
                <a:cubicBezTo>
                  <a:pt x="379114" y="234953"/>
                  <a:pt x="470221" y="220866"/>
                  <a:pt x="527056" y="191043"/>
                </a:cubicBezTo>
                <a:lnTo>
                  <a:pt x="527056" y="587378"/>
                </a:lnTo>
                <a:cubicBezTo>
                  <a:pt x="527056" y="604838"/>
                  <a:pt x="444722" y="647700"/>
                  <a:pt x="292103" y="64770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4" name="Freeform: Shape 43">
            <a:extLst>
              <a:ext uri="{FF2B5EF4-FFF2-40B4-BE49-F238E27FC236}">
                <a16:creationId xmlns:a16="http://schemas.microsoft.com/office/drawing/2014/main" id="{4B1566C1-E60C-48D8-B6F6-B0B1802E258E}"/>
              </a:ext>
            </a:extLst>
          </xdr:cNvPr>
          <xdr:cNvSpPr/>
        </xdr:nvSpPr>
        <xdr:spPr>
          <a:xfrm>
            <a:off x="5785561" y="3127448"/>
            <a:ext cx="41205" cy="26355"/>
          </a:xfrm>
          <a:custGeom>
            <a:avLst/>
            <a:gdLst>
              <a:gd name="connsiteX0" fmla="*/ 0 w 41205"/>
              <a:gd name="connsiteY0" fmla="*/ 7868 h 26355"/>
              <a:gd name="connsiteX1" fmla="*/ 4582 w 41205"/>
              <a:gd name="connsiteY1" fmla="*/ 26356 h 26355"/>
              <a:gd name="connsiteX2" fmla="*/ 41205 w 41205"/>
              <a:gd name="connsiteY2" fmla="*/ 18736 h 26355"/>
              <a:gd name="connsiteX3" fmla="*/ 38024 w 41205"/>
              <a:gd name="connsiteY3" fmla="*/ 0 h 26355"/>
              <a:gd name="connsiteX4" fmla="*/ 0 w 41205"/>
              <a:gd name="connsiteY4" fmla="*/ 7868 h 263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1205" h="26355">
                <a:moveTo>
                  <a:pt x="0" y="7868"/>
                </a:moveTo>
                <a:lnTo>
                  <a:pt x="4582" y="26356"/>
                </a:lnTo>
                <a:cubicBezTo>
                  <a:pt x="16107" y="23498"/>
                  <a:pt x="28394" y="20955"/>
                  <a:pt x="41205" y="18736"/>
                </a:cubicBezTo>
                <a:lnTo>
                  <a:pt x="38024" y="0"/>
                </a:lnTo>
                <a:cubicBezTo>
                  <a:pt x="24775" y="2248"/>
                  <a:pt x="11992" y="4896"/>
                  <a:pt x="0" y="7868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5" name="Freeform: Shape 44">
            <a:extLst>
              <a:ext uri="{FF2B5EF4-FFF2-40B4-BE49-F238E27FC236}">
                <a16:creationId xmlns:a16="http://schemas.microsoft.com/office/drawing/2014/main" id="{E0A7B966-520A-44E5-B1C6-194EF9BCA457}"/>
              </a:ext>
            </a:extLst>
          </xdr:cNvPr>
          <xdr:cNvSpPr/>
        </xdr:nvSpPr>
        <xdr:spPr>
          <a:xfrm>
            <a:off x="5854207" y="3119447"/>
            <a:ext cx="39700" cy="22488"/>
          </a:xfrm>
          <a:custGeom>
            <a:avLst/>
            <a:gdLst>
              <a:gd name="connsiteX0" fmla="*/ 0 w 39700"/>
              <a:gd name="connsiteY0" fmla="*/ 3581 h 22488"/>
              <a:gd name="connsiteX1" fmla="*/ 2267 w 39700"/>
              <a:gd name="connsiteY1" fmla="*/ 22489 h 22488"/>
              <a:gd name="connsiteX2" fmla="*/ 39700 w 39700"/>
              <a:gd name="connsiteY2" fmla="*/ 19050 h 22488"/>
              <a:gd name="connsiteX3" fmla="*/ 38462 w 39700"/>
              <a:gd name="connsiteY3" fmla="*/ 0 h 22488"/>
              <a:gd name="connsiteX4" fmla="*/ 0 w 39700"/>
              <a:gd name="connsiteY4" fmla="*/ 3581 h 224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700" h="22488">
                <a:moveTo>
                  <a:pt x="0" y="3581"/>
                </a:moveTo>
                <a:lnTo>
                  <a:pt x="2267" y="22489"/>
                </a:lnTo>
                <a:cubicBezTo>
                  <a:pt x="14430" y="21031"/>
                  <a:pt x="27032" y="19879"/>
                  <a:pt x="39700" y="19050"/>
                </a:cubicBezTo>
                <a:lnTo>
                  <a:pt x="38462" y="0"/>
                </a:lnTo>
                <a:cubicBezTo>
                  <a:pt x="25451" y="886"/>
                  <a:pt x="12506" y="2076"/>
                  <a:pt x="0" y="3581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6" name="Freeform: Shape 45">
            <a:extLst>
              <a:ext uri="{FF2B5EF4-FFF2-40B4-BE49-F238E27FC236}">
                <a16:creationId xmlns:a16="http://schemas.microsoft.com/office/drawing/2014/main" id="{A4B183F4-46EB-4A11-89B3-C40BAB297632}"/>
              </a:ext>
            </a:extLst>
          </xdr:cNvPr>
          <xdr:cNvSpPr/>
        </xdr:nvSpPr>
        <xdr:spPr>
          <a:xfrm>
            <a:off x="5718990" y="3143916"/>
            <a:ext cx="42576" cy="32013"/>
          </a:xfrm>
          <a:custGeom>
            <a:avLst/>
            <a:gdLst>
              <a:gd name="connsiteX0" fmla="*/ 0 w 42576"/>
              <a:gd name="connsiteY0" fmla="*/ 15059 h 32013"/>
              <a:gd name="connsiteX1" fmla="*/ 8696 w 42576"/>
              <a:gd name="connsiteY1" fmla="*/ 32014 h 32013"/>
              <a:gd name="connsiteX2" fmla="*/ 42577 w 42576"/>
              <a:gd name="connsiteY2" fmla="*/ 18098 h 32013"/>
              <a:gd name="connsiteX3" fmla="*/ 36557 w 42576"/>
              <a:gd name="connsiteY3" fmla="*/ 0 h 32013"/>
              <a:gd name="connsiteX4" fmla="*/ 0 w 42576"/>
              <a:gd name="connsiteY4" fmla="*/ 15059 h 3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2576" h="32013">
                <a:moveTo>
                  <a:pt x="0" y="15059"/>
                </a:moveTo>
                <a:lnTo>
                  <a:pt x="8696" y="32014"/>
                </a:lnTo>
                <a:cubicBezTo>
                  <a:pt x="19625" y="26533"/>
                  <a:pt x="30951" y="21881"/>
                  <a:pt x="42577" y="18098"/>
                </a:cubicBezTo>
                <a:lnTo>
                  <a:pt x="36557" y="0"/>
                </a:lnTo>
                <a:cubicBezTo>
                  <a:pt x="24010" y="4094"/>
                  <a:pt x="11790" y="9128"/>
                  <a:pt x="0" y="15059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7" name="Freeform: Shape 46">
            <a:extLst>
              <a:ext uri="{FF2B5EF4-FFF2-40B4-BE49-F238E27FC236}">
                <a16:creationId xmlns:a16="http://schemas.microsoft.com/office/drawing/2014/main" id="{3F4AFB73-F3FA-4EBC-9EEA-BA3AF0AEAE4D}"/>
              </a:ext>
            </a:extLst>
          </xdr:cNvPr>
          <xdr:cNvSpPr/>
        </xdr:nvSpPr>
        <xdr:spPr>
          <a:xfrm>
            <a:off x="5923511" y="3117853"/>
            <a:ext cx="38566" cy="19300"/>
          </a:xfrm>
          <a:custGeom>
            <a:avLst/>
            <a:gdLst>
              <a:gd name="connsiteX0" fmla="*/ 0 w 38566"/>
              <a:gd name="connsiteY0" fmla="*/ 250 h 19300"/>
              <a:gd name="connsiteX1" fmla="*/ 467 w 38566"/>
              <a:gd name="connsiteY1" fmla="*/ 19300 h 19300"/>
              <a:gd name="connsiteX2" fmla="*/ 38110 w 38566"/>
              <a:gd name="connsiteY2" fmla="*/ 19300 h 19300"/>
              <a:gd name="connsiteX3" fmla="*/ 38567 w 38566"/>
              <a:gd name="connsiteY3" fmla="*/ 250 h 19300"/>
              <a:gd name="connsiteX4" fmla="*/ 0 w 38566"/>
              <a:gd name="connsiteY4" fmla="*/ 250 h 19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8566" h="19300">
                <a:moveTo>
                  <a:pt x="0" y="250"/>
                </a:moveTo>
                <a:lnTo>
                  <a:pt x="467" y="19300"/>
                </a:lnTo>
                <a:cubicBezTo>
                  <a:pt x="12849" y="18995"/>
                  <a:pt x="25670" y="18976"/>
                  <a:pt x="38110" y="19300"/>
                </a:cubicBezTo>
                <a:lnTo>
                  <a:pt x="38567" y="250"/>
                </a:lnTo>
                <a:cubicBezTo>
                  <a:pt x="25803" y="-93"/>
                  <a:pt x="12716" y="-74"/>
                  <a:pt x="0" y="25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8" name="Freeform: Shape 47">
            <a:extLst>
              <a:ext uri="{FF2B5EF4-FFF2-40B4-BE49-F238E27FC236}">
                <a16:creationId xmlns:a16="http://schemas.microsoft.com/office/drawing/2014/main" id="{05E6BA73-96FE-4545-AE78-100798B1D4D7}"/>
              </a:ext>
            </a:extLst>
          </xdr:cNvPr>
          <xdr:cNvSpPr/>
        </xdr:nvSpPr>
        <xdr:spPr>
          <a:xfrm>
            <a:off x="6124155" y="3143430"/>
            <a:ext cx="42576" cy="31804"/>
          </a:xfrm>
          <a:custGeom>
            <a:avLst/>
            <a:gdLst>
              <a:gd name="connsiteX0" fmla="*/ 0 w 42576"/>
              <a:gd name="connsiteY0" fmla="*/ 18098 h 31804"/>
              <a:gd name="connsiteX1" fmla="*/ 34004 w 42576"/>
              <a:gd name="connsiteY1" fmla="*/ 31804 h 31804"/>
              <a:gd name="connsiteX2" fmla="*/ 42577 w 42576"/>
              <a:gd name="connsiteY2" fmla="*/ 14773 h 31804"/>
              <a:gd name="connsiteX3" fmla="*/ 5963 w 42576"/>
              <a:gd name="connsiteY3" fmla="*/ 0 h 318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576" h="31804">
                <a:moveTo>
                  <a:pt x="0" y="18098"/>
                </a:moveTo>
                <a:cubicBezTo>
                  <a:pt x="11653" y="21832"/>
                  <a:pt x="23018" y="26414"/>
                  <a:pt x="34004" y="31804"/>
                </a:cubicBezTo>
                <a:lnTo>
                  <a:pt x="42577" y="14773"/>
                </a:lnTo>
                <a:cubicBezTo>
                  <a:pt x="30750" y="8960"/>
                  <a:pt x="18512" y="4022"/>
                  <a:pt x="596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9" name="Freeform: Shape 48">
            <a:extLst>
              <a:ext uri="{FF2B5EF4-FFF2-40B4-BE49-F238E27FC236}">
                <a16:creationId xmlns:a16="http://schemas.microsoft.com/office/drawing/2014/main" id="{EB69F932-6E7D-4189-B7F7-AA8366D0D467}"/>
              </a:ext>
            </a:extLst>
          </xdr:cNvPr>
          <xdr:cNvSpPr/>
        </xdr:nvSpPr>
        <xdr:spPr>
          <a:xfrm>
            <a:off x="6058852" y="3127181"/>
            <a:ext cx="41167" cy="26250"/>
          </a:xfrm>
          <a:custGeom>
            <a:avLst/>
            <a:gdLst>
              <a:gd name="connsiteX0" fmla="*/ 0 w 41167"/>
              <a:gd name="connsiteY0" fmla="*/ 18783 h 26250"/>
              <a:gd name="connsiteX1" fmla="*/ 36652 w 41167"/>
              <a:gd name="connsiteY1" fmla="*/ 26251 h 26250"/>
              <a:gd name="connsiteX2" fmla="*/ 41167 w 41167"/>
              <a:gd name="connsiteY2" fmla="*/ 7734 h 26250"/>
              <a:gd name="connsiteX3" fmla="*/ 3143 w 41167"/>
              <a:gd name="connsiteY3" fmla="*/ 0 h 26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1167" h="26250">
                <a:moveTo>
                  <a:pt x="0" y="18783"/>
                </a:moveTo>
                <a:cubicBezTo>
                  <a:pt x="12735" y="20917"/>
                  <a:pt x="25070" y="23422"/>
                  <a:pt x="36652" y="26251"/>
                </a:cubicBezTo>
                <a:lnTo>
                  <a:pt x="41167" y="7734"/>
                </a:lnTo>
                <a:cubicBezTo>
                  <a:pt x="29137" y="4810"/>
                  <a:pt x="16335" y="2200"/>
                  <a:pt x="314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0" name="Freeform: Shape 49">
            <a:extLst>
              <a:ext uri="{FF2B5EF4-FFF2-40B4-BE49-F238E27FC236}">
                <a16:creationId xmlns:a16="http://schemas.microsoft.com/office/drawing/2014/main" id="{18581D44-974F-4CE6-B835-E88C12D47EFF}"/>
              </a:ext>
            </a:extLst>
          </xdr:cNvPr>
          <xdr:cNvSpPr/>
        </xdr:nvSpPr>
        <xdr:spPr>
          <a:xfrm>
            <a:off x="5991710" y="3119389"/>
            <a:ext cx="39671" cy="22364"/>
          </a:xfrm>
          <a:custGeom>
            <a:avLst/>
            <a:gdLst>
              <a:gd name="connsiteX0" fmla="*/ 0 w 39671"/>
              <a:gd name="connsiteY0" fmla="*/ 19012 h 22364"/>
              <a:gd name="connsiteX1" fmla="*/ 37452 w 39671"/>
              <a:gd name="connsiteY1" fmla="*/ 22365 h 22364"/>
              <a:gd name="connsiteX2" fmla="*/ 39672 w 39671"/>
              <a:gd name="connsiteY2" fmla="*/ 3448 h 22364"/>
              <a:gd name="connsiteX3" fmla="*/ 1200 w 39671"/>
              <a:gd name="connsiteY3" fmla="*/ 0 h 223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9671" h="22364">
                <a:moveTo>
                  <a:pt x="0" y="19012"/>
                </a:moveTo>
                <a:cubicBezTo>
                  <a:pt x="12668" y="19802"/>
                  <a:pt x="25270" y="20917"/>
                  <a:pt x="37452" y="22365"/>
                </a:cubicBezTo>
                <a:lnTo>
                  <a:pt x="39672" y="3448"/>
                </a:lnTo>
                <a:cubicBezTo>
                  <a:pt x="27146" y="1981"/>
                  <a:pt x="14202" y="819"/>
                  <a:pt x="1200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</xdr:grpSp>
    <xdr:clientData/>
  </xdr:twoCellAnchor>
  <xdr:twoCellAnchor>
    <xdr:from>
      <xdr:col>7</xdr:col>
      <xdr:colOff>571499</xdr:colOff>
      <xdr:row>30</xdr:row>
      <xdr:rowOff>95250</xdr:rowOff>
    </xdr:from>
    <xdr:to>
      <xdr:col>9</xdr:col>
      <xdr:colOff>104774</xdr:colOff>
      <xdr:row>34</xdr:row>
      <xdr:rowOff>76200</xdr:rowOff>
    </xdr:to>
    <xdr:grpSp>
      <xdr:nvGrpSpPr>
        <xdr:cNvPr id="51" name="Graphic 9" descr="Cylinder with solid fill">
          <a:extLst>
            <a:ext uri="{FF2B5EF4-FFF2-40B4-BE49-F238E27FC236}">
              <a16:creationId xmlns:a16="http://schemas.microsoft.com/office/drawing/2014/main" id="{E50CCAE2-7B62-4791-A6A0-86919B08A6BA}"/>
            </a:ext>
          </a:extLst>
        </xdr:cNvPr>
        <xdr:cNvGrpSpPr/>
      </xdr:nvGrpSpPr>
      <xdr:grpSpPr>
        <a:xfrm>
          <a:off x="6200774" y="4953000"/>
          <a:ext cx="828675" cy="628650"/>
          <a:chOff x="5651496" y="2628900"/>
          <a:chExt cx="584206" cy="704850"/>
        </a:xfrm>
        <a:solidFill>
          <a:srgbClr val="00B0F0"/>
        </a:solidFill>
      </xdr:grpSpPr>
      <xdr:sp macro="" textlink="">
        <xdr:nvSpPr>
          <xdr:cNvPr id="52" name="Freeform: Shape 51">
            <a:extLst>
              <a:ext uri="{FF2B5EF4-FFF2-40B4-BE49-F238E27FC236}">
                <a16:creationId xmlns:a16="http://schemas.microsoft.com/office/drawing/2014/main" id="{F227B0D2-1E1F-4F0F-BF42-D9A48F16ECF8}"/>
              </a:ext>
            </a:extLst>
          </xdr:cNvPr>
          <xdr:cNvSpPr/>
        </xdr:nvSpPr>
        <xdr:spPr>
          <a:xfrm>
            <a:off x="5651496" y="2628900"/>
            <a:ext cx="584206" cy="704850"/>
          </a:xfrm>
          <a:custGeom>
            <a:avLst/>
            <a:gdLst>
              <a:gd name="connsiteX0" fmla="*/ 292103 w 584206"/>
              <a:gd name="connsiteY0" fmla="*/ 0 h 704850"/>
              <a:gd name="connsiteX1" fmla="*/ 0 w 584206"/>
              <a:gd name="connsiteY1" fmla="*/ 117472 h 704850"/>
              <a:gd name="connsiteX2" fmla="*/ 0 w 584206"/>
              <a:gd name="connsiteY2" fmla="*/ 587378 h 704850"/>
              <a:gd name="connsiteX3" fmla="*/ 292103 w 584206"/>
              <a:gd name="connsiteY3" fmla="*/ 704850 h 704850"/>
              <a:gd name="connsiteX4" fmla="*/ 584206 w 584206"/>
              <a:gd name="connsiteY4" fmla="*/ 587378 h 704850"/>
              <a:gd name="connsiteX5" fmla="*/ 584206 w 584206"/>
              <a:gd name="connsiteY5" fmla="*/ 117472 h 704850"/>
              <a:gd name="connsiteX6" fmla="*/ 292103 w 584206"/>
              <a:gd name="connsiteY6" fmla="*/ 0 h 704850"/>
              <a:gd name="connsiteX7" fmla="*/ 292103 w 584206"/>
              <a:gd name="connsiteY7" fmla="*/ 57150 h 704850"/>
              <a:gd name="connsiteX8" fmla="*/ 527056 w 584206"/>
              <a:gd name="connsiteY8" fmla="*/ 117472 h 704850"/>
              <a:gd name="connsiteX9" fmla="*/ 292103 w 584206"/>
              <a:gd name="connsiteY9" fmla="*/ 177803 h 704850"/>
              <a:gd name="connsiteX10" fmla="*/ 57150 w 584206"/>
              <a:gd name="connsiteY10" fmla="*/ 117472 h 704850"/>
              <a:gd name="connsiteX11" fmla="*/ 292103 w 584206"/>
              <a:gd name="connsiteY11" fmla="*/ 57150 h 704850"/>
              <a:gd name="connsiteX12" fmla="*/ 292103 w 584206"/>
              <a:gd name="connsiteY12" fmla="*/ 647700 h 704850"/>
              <a:gd name="connsiteX13" fmla="*/ 57150 w 584206"/>
              <a:gd name="connsiteY13" fmla="*/ 587378 h 704850"/>
              <a:gd name="connsiteX14" fmla="*/ 57150 w 584206"/>
              <a:gd name="connsiteY14" fmla="*/ 191043 h 704850"/>
              <a:gd name="connsiteX15" fmla="*/ 292103 w 584206"/>
              <a:gd name="connsiteY15" fmla="*/ 234953 h 704850"/>
              <a:gd name="connsiteX16" fmla="*/ 527056 w 584206"/>
              <a:gd name="connsiteY16" fmla="*/ 191043 h 704850"/>
              <a:gd name="connsiteX17" fmla="*/ 527056 w 584206"/>
              <a:gd name="connsiteY17" fmla="*/ 587378 h 704850"/>
              <a:gd name="connsiteX18" fmla="*/ 292103 w 584206"/>
              <a:gd name="connsiteY18" fmla="*/ 647700 h 704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584206" h="704850">
                <a:moveTo>
                  <a:pt x="292103" y="0"/>
                </a:moveTo>
                <a:cubicBezTo>
                  <a:pt x="151419" y="0"/>
                  <a:pt x="0" y="36757"/>
                  <a:pt x="0" y="117472"/>
                </a:cubicBezTo>
                <a:lnTo>
                  <a:pt x="0" y="587378"/>
                </a:lnTo>
                <a:cubicBezTo>
                  <a:pt x="0" y="668093"/>
                  <a:pt x="151419" y="704850"/>
                  <a:pt x="292103" y="704850"/>
                </a:cubicBezTo>
                <a:cubicBezTo>
                  <a:pt x="432787" y="704850"/>
                  <a:pt x="584206" y="668093"/>
                  <a:pt x="584206" y="587378"/>
                </a:cubicBezTo>
                <a:lnTo>
                  <a:pt x="584206" y="117472"/>
                </a:lnTo>
                <a:cubicBezTo>
                  <a:pt x="584206" y="36757"/>
                  <a:pt x="432787" y="0"/>
                  <a:pt x="292103" y="0"/>
                </a:cubicBezTo>
                <a:close/>
                <a:moveTo>
                  <a:pt x="292103" y="57150"/>
                </a:moveTo>
                <a:cubicBezTo>
                  <a:pt x="444722" y="57150"/>
                  <a:pt x="527056" y="100013"/>
                  <a:pt x="527056" y="117472"/>
                </a:cubicBezTo>
                <a:cubicBezTo>
                  <a:pt x="527056" y="134931"/>
                  <a:pt x="444722" y="177803"/>
                  <a:pt x="292103" y="177803"/>
                </a:cubicBezTo>
                <a:cubicBezTo>
                  <a:pt x="139484" y="177803"/>
                  <a:pt x="57150" y="134941"/>
                  <a:pt x="57150" y="117472"/>
                </a:cubicBezTo>
                <a:cubicBezTo>
                  <a:pt x="57150" y="100003"/>
                  <a:pt x="139484" y="57150"/>
                  <a:pt x="292103" y="57150"/>
                </a:cubicBezTo>
                <a:close/>
                <a:moveTo>
                  <a:pt x="292103" y="647700"/>
                </a:moveTo>
                <a:cubicBezTo>
                  <a:pt x="139484" y="647700"/>
                  <a:pt x="57150" y="604838"/>
                  <a:pt x="57150" y="587378"/>
                </a:cubicBezTo>
                <a:lnTo>
                  <a:pt x="57150" y="191043"/>
                </a:lnTo>
                <a:cubicBezTo>
                  <a:pt x="114014" y="220866"/>
                  <a:pt x="205092" y="234953"/>
                  <a:pt x="292103" y="234953"/>
                </a:cubicBezTo>
                <a:cubicBezTo>
                  <a:pt x="379114" y="234953"/>
                  <a:pt x="470221" y="220866"/>
                  <a:pt x="527056" y="191043"/>
                </a:cubicBezTo>
                <a:lnTo>
                  <a:pt x="527056" y="587378"/>
                </a:lnTo>
                <a:cubicBezTo>
                  <a:pt x="527056" y="604838"/>
                  <a:pt x="444722" y="647700"/>
                  <a:pt x="292103" y="64770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3" name="Freeform: Shape 52">
            <a:extLst>
              <a:ext uri="{FF2B5EF4-FFF2-40B4-BE49-F238E27FC236}">
                <a16:creationId xmlns:a16="http://schemas.microsoft.com/office/drawing/2014/main" id="{87BBED88-058F-492C-9519-B8E7C657DBB7}"/>
              </a:ext>
            </a:extLst>
          </xdr:cNvPr>
          <xdr:cNvSpPr/>
        </xdr:nvSpPr>
        <xdr:spPr>
          <a:xfrm>
            <a:off x="5785561" y="3127448"/>
            <a:ext cx="41205" cy="26355"/>
          </a:xfrm>
          <a:custGeom>
            <a:avLst/>
            <a:gdLst>
              <a:gd name="connsiteX0" fmla="*/ 0 w 41205"/>
              <a:gd name="connsiteY0" fmla="*/ 7868 h 26355"/>
              <a:gd name="connsiteX1" fmla="*/ 4582 w 41205"/>
              <a:gd name="connsiteY1" fmla="*/ 26356 h 26355"/>
              <a:gd name="connsiteX2" fmla="*/ 41205 w 41205"/>
              <a:gd name="connsiteY2" fmla="*/ 18736 h 26355"/>
              <a:gd name="connsiteX3" fmla="*/ 38024 w 41205"/>
              <a:gd name="connsiteY3" fmla="*/ 0 h 26355"/>
              <a:gd name="connsiteX4" fmla="*/ 0 w 41205"/>
              <a:gd name="connsiteY4" fmla="*/ 7868 h 263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1205" h="26355">
                <a:moveTo>
                  <a:pt x="0" y="7868"/>
                </a:moveTo>
                <a:lnTo>
                  <a:pt x="4582" y="26356"/>
                </a:lnTo>
                <a:cubicBezTo>
                  <a:pt x="16107" y="23498"/>
                  <a:pt x="28394" y="20955"/>
                  <a:pt x="41205" y="18736"/>
                </a:cubicBezTo>
                <a:lnTo>
                  <a:pt x="38024" y="0"/>
                </a:lnTo>
                <a:cubicBezTo>
                  <a:pt x="24775" y="2248"/>
                  <a:pt x="11992" y="4896"/>
                  <a:pt x="0" y="7868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4" name="Freeform: Shape 53">
            <a:extLst>
              <a:ext uri="{FF2B5EF4-FFF2-40B4-BE49-F238E27FC236}">
                <a16:creationId xmlns:a16="http://schemas.microsoft.com/office/drawing/2014/main" id="{BF594028-BE9C-4F69-BE80-E1449954B0A6}"/>
              </a:ext>
            </a:extLst>
          </xdr:cNvPr>
          <xdr:cNvSpPr/>
        </xdr:nvSpPr>
        <xdr:spPr>
          <a:xfrm>
            <a:off x="5854207" y="3119447"/>
            <a:ext cx="39700" cy="22488"/>
          </a:xfrm>
          <a:custGeom>
            <a:avLst/>
            <a:gdLst>
              <a:gd name="connsiteX0" fmla="*/ 0 w 39700"/>
              <a:gd name="connsiteY0" fmla="*/ 3581 h 22488"/>
              <a:gd name="connsiteX1" fmla="*/ 2267 w 39700"/>
              <a:gd name="connsiteY1" fmla="*/ 22489 h 22488"/>
              <a:gd name="connsiteX2" fmla="*/ 39700 w 39700"/>
              <a:gd name="connsiteY2" fmla="*/ 19050 h 22488"/>
              <a:gd name="connsiteX3" fmla="*/ 38462 w 39700"/>
              <a:gd name="connsiteY3" fmla="*/ 0 h 22488"/>
              <a:gd name="connsiteX4" fmla="*/ 0 w 39700"/>
              <a:gd name="connsiteY4" fmla="*/ 3581 h 224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700" h="22488">
                <a:moveTo>
                  <a:pt x="0" y="3581"/>
                </a:moveTo>
                <a:lnTo>
                  <a:pt x="2267" y="22489"/>
                </a:lnTo>
                <a:cubicBezTo>
                  <a:pt x="14430" y="21031"/>
                  <a:pt x="27032" y="19879"/>
                  <a:pt x="39700" y="19050"/>
                </a:cubicBezTo>
                <a:lnTo>
                  <a:pt x="38462" y="0"/>
                </a:lnTo>
                <a:cubicBezTo>
                  <a:pt x="25451" y="886"/>
                  <a:pt x="12506" y="2076"/>
                  <a:pt x="0" y="3581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5" name="Freeform: Shape 54">
            <a:extLst>
              <a:ext uri="{FF2B5EF4-FFF2-40B4-BE49-F238E27FC236}">
                <a16:creationId xmlns:a16="http://schemas.microsoft.com/office/drawing/2014/main" id="{5E07DE5F-B3D0-4DAE-97EA-ECAFE3B5AF00}"/>
              </a:ext>
            </a:extLst>
          </xdr:cNvPr>
          <xdr:cNvSpPr/>
        </xdr:nvSpPr>
        <xdr:spPr>
          <a:xfrm>
            <a:off x="5718990" y="3143916"/>
            <a:ext cx="42576" cy="32013"/>
          </a:xfrm>
          <a:custGeom>
            <a:avLst/>
            <a:gdLst>
              <a:gd name="connsiteX0" fmla="*/ 0 w 42576"/>
              <a:gd name="connsiteY0" fmla="*/ 15059 h 32013"/>
              <a:gd name="connsiteX1" fmla="*/ 8696 w 42576"/>
              <a:gd name="connsiteY1" fmla="*/ 32014 h 32013"/>
              <a:gd name="connsiteX2" fmla="*/ 42577 w 42576"/>
              <a:gd name="connsiteY2" fmla="*/ 18098 h 32013"/>
              <a:gd name="connsiteX3" fmla="*/ 36557 w 42576"/>
              <a:gd name="connsiteY3" fmla="*/ 0 h 32013"/>
              <a:gd name="connsiteX4" fmla="*/ 0 w 42576"/>
              <a:gd name="connsiteY4" fmla="*/ 15059 h 3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2576" h="32013">
                <a:moveTo>
                  <a:pt x="0" y="15059"/>
                </a:moveTo>
                <a:lnTo>
                  <a:pt x="8696" y="32014"/>
                </a:lnTo>
                <a:cubicBezTo>
                  <a:pt x="19625" y="26533"/>
                  <a:pt x="30951" y="21881"/>
                  <a:pt x="42577" y="18098"/>
                </a:cubicBezTo>
                <a:lnTo>
                  <a:pt x="36557" y="0"/>
                </a:lnTo>
                <a:cubicBezTo>
                  <a:pt x="24010" y="4094"/>
                  <a:pt x="11790" y="9128"/>
                  <a:pt x="0" y="15059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6" name="Freeform: Shape 55">
            <a:extLst>
              <a:ext uri="{FF2B5EF4-FFF2-40B4-BE49-F238E27FC236}">
                <a16:creationId xmlns:a16="http://schemas.microsoft.com/office/drawing/2014/main" id="{1370A20C-E49D-4192-B945-B4E88DF10A53}"/>
              </a:ext>
            </a:extLst>
          </xdr:cNvPr>
          <xdr:cNvSpPr/>
        </xdr:nvSpPr>
        <xdr:spPr>
          <a:xfrm>
            <a:off x="5923511" y="3117853"/>
            <a:ext cx="38566" cy="19300"/>
          </a:xfrm>
          <a:custGeom>
            <a:avLst/>
            <a:gdLst>
              <a:gd name="connsiteX0" fmla="*/ 0 w 38566"/>
              <a:gd name="connsiteY0" fmla="*/ 250 h 19300"/>
              <a:gd name="connsiteX1" fmla="*/ 467 w 38566"/>
              <a:gd name="connsiteY1" fmla="*/ 19300 h 19300"/>
              <a:gd name="connsiteX2" fmla="*/ 38110 w 38566"/>
              <a:gd name="connsiteY2" fmla="*/ 19300 h 19300"/>
              <a:gd name="connsiteX3" fmla="*/ 38567 w 38566"/>
              <a:gd name="connsiteY3" fmla="*/ 250 h 19300"/>
              <a:gd name="connsiteX4" fmla="*/ 0 w 38566"/>
              <a:gd name="connsiteY4" fmla="*/ 250 h 19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8566" h="19300">
                <a:moveTo>
                  <a:pt x="0" y="250"/>
                </a:moveTo>
                <a:lnTo>
                  <a:pt x="467" y="19300"/>
                </a:lnTo>
                <a:cubicBezTo>
                  <a:pt x="12849" y="18995"/>
                  <a:pt x="25670" y="18976"/>
                  <a:pt x="38110" y="19300"/>
                </a:cubicBezTo>
                <a:lnTo>
                  <a:pt x="38567" y="250"/>
                </a:lnTo>
                <a:cubicBezTo>
                  <a:pt x="25803" y="-93"/>
                  <a:pt x="12716" y="-74"/>
                  <a:pt x="0" y="25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7" name="Freeform: Shape 56">
            <a:extLst>
              <a:ext uri="{FF2B5EF4-FFF2-40B4-BE49-F238E27FC236}">
                <a16:creationId xmlns:a16="http://schemas.microsoft.com/office/drawing/2014/main" id="{BBEA00BB-F74B-4D37-9533-E8E54FC89438}"/>
              </a:ext>
            </a:extLst>
          </xdr:cNvPr>
          <xdr:cNvSpPr/>
        </xdr:nvSpPr>
        <xdr:spPr>
          <a:xfrm>
            <a:off x="6124155" y="3143430"/>
            <a:ext cx="42576" cy="31804"/>
          </a:xfrm>
          <a:custGeom>
            <a:avLst/>
            <a:gdLst>
              <a:gd name="connsiteX0" fmla="*/ 0 w 42576"/>
              <a:gd name="connsiteY0" fmla="*/ 18098 h 31804"/>
              <a:gd name="connsiteX1" fmla="*/ 34004 w 42576"/>
              <a:gd name="connsiteY1" fmla="*/ 31804 h 31804"/>
              <a:gd name="connsiteX2" fmla="*/ 42577 w 42576"/>
              <a:gd name="connsiteY2" fmla="*/ 14773 h 31804"/>
              <a:gd name="connsiteX3" fmla="*/ 5963 w 42576"/>
              <a:gd name="connsiteY3" fmla="*/ 0 h 318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576" h="31804">
                <a:moveTo>
                  <a:pt x="0" y="18098"/>
                </a:moveTo>
                <a:cubicBezTo>
                  <a:pt x="11653" y="21832"/>
                  <a:pt x="23018" y="26414"/>
                  <a:pt x="34004" y="31804"/>
                </a:cubicBezTo>
                <a:lnTo>
                  <a:pt x="42577" y="14773"/>
                </a:lnTo>
                <a:cubicBezTo>
                  <a:pt x="30750" y="8960"/>
                  <a:pt x="18512" y="4022"/>
                  <a:pt x="596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8" name="Freeform: Shape 57">
            <a:extLst>
              <a:ext uri="{FF2B5EF4-FFF2-40B4-BE49-F238E27FC236}">
                <a16:creationId xmlns:a16="http://schemas.microsoft.com/office/drawing/2014/main" id="{1C0FED50-FB1F-41C7-B648-2AD131090C7E}"/>
              </a:ext>
            </a:extLst>
          </xdr:cNvPr>
          <xdr:cNvSpPr/>
        </xdr:nvSpPr>
        <xdr:spPr>
          <a:xfrm>
            <a:off x="6058852" y="3127181"/>
            <a:ext cx="41167" cy="26250"/>
          </a:xfrm>
          <a:custGeom>
            <a:avLst/>
            <a:gdLst>
              <a:gd name="connsiteX0" fmla="*/ 0 w 41167"/>
              <a:gd name="connsiteY0" fmla="*/ 18783 h 26250"/>
              <a:gd name="connsiteX1" fmla="*/ 36652 w 41167"/>
              <a:gd name="connsiteY1" fmla="*/ 26251 h 26250"/>
              <a:gd name="connsiteX2" fmla="*/ 41167 w 41167"/>
              <a:gd name="connsiteY2" fmla="*/ 7734 h 26250"/>
              <a:gd name="connsiteX3" fmla="*/ 3143 w 41167"/>
              <a:gd name="connsiteY3" fmla="*/ 0 h 26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1167" h="26250">
                <a:moveTo>
                  <a:pt x="0" y="18783"/>
                </a:moveTo>
                <a:cubicBezTo>
                  <a:pt x="12735" y="20917"/>
                  <a:pt x="25070" y="23422"/>
                  <a:pt x="36652" y="26251"/>
                </a:cubicBezTo>
                <a:lnTo>
                  <a:pt x="41167" y="7734"/>
                </a:lnTo>
                <a:cubicBezTo>
                  <a:pt x="29137" y="4810"/>
                  <a:pt x="16335" y="2200"/>
                  <a:pt x="3143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9" name="Freeform: Shape 58">
            <a:extLst>
              <a:ext uri="{FF2B5EF4-FFF2-40B4-BE49-F238E27FC236}">
                <a16:creationId xmlns:a16="http://schemas.microsoft.com/office/drawing/2014/main" id="{CA0EA397-046C-45E0-ACD0-F020D423A2C1}"/>
              </a:ext>
            </a:extLst>
          </xdr:cNvPr>
          <xdr:cNvSpPr/>
        </xdr:nvSpPr>
        <xdr:spPr>
          <a:xfrm>
            <a:off x="5991710" y="3119389"/>
            <a:ext cx="39671" cy="22364"/>
          </a:xfrm>
          <a:custGeom>
            <a:avLst/>
            <a:gdLst>
              <a:gd name="connsiteX0" fmla="*/ 0 w 39671"/>
              <a:gd name="connsiteY0" fmla="*/ 19012 h 22364"/>
              <a:gd name="connsiteX1" fmla="*/ 37452 w 39671"/>
              <a:gd name="connsiteY1" fmla="*/ 22365 h 22364"/>
              <a:gd name="connsiteX2" fmla="*/ 39672 w 39671"/>
              <a:gd name="connsiteY2" fmla="*/ 3448 h 22364"/>
              <a:gd name="connsiteX3" fmla="*/ 1200 w 39671"/>
              <a:gd name="connsiteY3" fmla="*/ 0 h 223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9671" h="22364">
                <a:moveTo>
                  <a:pt x="0" y="19012"/>
                </a:moveTo>
                <a:cubicBezTo>
                  <a:pt x="12668" y="19802"/>
                  <a:pt x="25270" y="20917"/>
                  <a:pt x="37452" y="22365"/>
                </a:cubicBezTo>
                <a:lnTo>
                  <a:pt x="39672" y="3448"/>
                </a:lnTo>
                <a:cubicBezTo>
                  <a:pt x="27146" y="1981"/>
                  <a:pt x="14202" y="819"/>
                  <a:pt x="1200" y="0"/>
                </a:cubicBez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6</xdr:col>
      <xdr:colOff>504825</xdr:colOff>
      <xdr:row>19</xdr:row>
      <xdr:rowOff>152400</xdr:rowOff>
    </xdr:from>
    <xdr:to>
      <xdr:col>7</xdr:col>
      <xdr:colOff>333374</xdr:colOff>
      <xdr:row>27</xdr:row>
      <xdr:rowOff>152400</xdr:rowOff>
    </xdr:to>
    <xdr:pic>
      <xdr:nvPicPr>
        <xdr:cNvPr id="60" name="Graphic 59" descr="Arrow: Rotate right with solid fill">
          <a:extLst>
            <a:ext uri="{FF2B5EF4-FFF2-40B4-BE49-F238E27FC236}">
              <a16:creationId xmlns:a16="http://schemas.microsoft.com/office/drawing/2014/main" id="{6BD56A04-E511-47C7-8F78-6B51AD73F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038600" y="3581400"/>
          <a:ext cx="476249" cy="1295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23</xdr:row>
      <xdr:rowOff>152400</xdr:rowOff>
    </xdr:from>
    <xdr:to>
      <xdr:col>8</xdr:col>
      <xdr:colOff>485774</xdr:colOff>
      <xdr:row>31</xdr:row>
      <xdr:rowOff>152400</xdr:rowOff>
    </xdr:to>
    <xdr:pic>
      <xdr:nvPicPr>
        <xdr:cNvPr id="61" name="Graphic 60" descr="Arrow: Rotate right with solid fill">
          <a:extLst>
            <a:ext uri="{FF2B5EF4-FFF2-40B4-BE49-F238E27FC236}">
              <a16:creationId xmlns:a16="http://schemas.microsoft.com/office/drawing/2014/main" id="{AF56D05A-FB0F-4B79-84EE-FF6D0BACF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72000" y="4229100"/>
          <a:ext cx="476249" cy="129540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35</xdr:row>
      <xdr:rowOff>47625</xdr:rowOff>
    </xdr:from>
    <xdr:to>
      <xdr:col>5</xdr:col>
      <xdr:colOff>276225</xdr:colOff>
      <xdr:row>43</xdr:row>
      <xdr:rowOff>95250</xdr:rowOff>
    </xdr:to>
    <xdr:pic>
      <xdr:nvPicPr>
        <xdr:cNvPr id="62" name="Graphic 61" descr="Treasure chest outline">
          <a:extLst>
            <a:ext uri="{FF2B5EF4-FFF2-40B4-BE49-F238E27FC236}">
              <a16:creationId xmlns:a16="http://schemas.microsoft.com/office/drawing/2014/main" id="{3BFC5A16-FFD9-44EE-8C6D-147C3AB5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24175" y="6096000"/>
          <a:ext cx="1685925" cy="134302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26</xdr:row>
      <xdr:rowOff>123826</xdr:rowOff>
    </xdr:from>
    <xdr:to>
      <xdr:col>8</xdr:col>
      <xdr:colOff>57150</xdr:colOff>
      <xdr:row>37</xdr:row>
      <xdr:rowOff>28577</xdr:rowOff>
    </xdr:to>
    <xdr:pic>
      <xdr:nvPicPr>
        <xdr:cNvPr id="63" name="Graphic 62" descr="Arrow: Rotate left with solid fill">
          <a:extLst>
            <a:ext uri="{FF2B5EF4-FFF2-40B4-BE49-F238E27FC236}">
              <a16:creationId xmlns:a16="http://schemas.microsoft.com/office/drawing/2014/main" id="{4C187E17-A304-40AD-BAAE-70A4AFD55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076575" y="4333876"/>
          <a:ext cx="3257550" cy="1685926"/>
        </a:xfrm>
        <a:prstGeom prst="rect">
          <a:avLst/>
        </a:prstGeom>
      </xdr:spPr>
    </xdr:pic>
    <xdr:clientData/>
  </xdr:twoCellAnchor>
  <xdr:twoCellAnchor editAs="oneCell">
    <xdr:from>
      <xdr:col>1</xdr:col>
      <xdr:colOff>1095376</xdr:colOff>
      <xdr:row>42</xdr:row>
      <xdr:rowOff>76200</xdr:rowOff>
    </xdr:from>
    <xdr:to>
      <xdr:col>3</xdr:col>
      <xdr:colOff>295275</xdr:colOff>
      <xdr:row>46</xdr:row>
      <xdr:rowOff>66675</xdr:rowOff>
    </xdr:to>
    <xdr:pic>
      <xdr:nvPicPr>
        <xdr:cNvPr id="64" name="Graphic 63" descr="Cylinder with solid fill">
          <a:extLst>
            <a:ext uri="{FF2B5EF4-FFF2-40B4-BE49-F238E27FC236}">
              <a16:creationId xmlns:a16="http://schemas.microsoft.com/office/drawing/2014/main" id="{83951395-B064-4D0D-8F52-6DDA86254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114551" y="6877050"/>
          <a:ext cx="1219199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342900</xdr:colOff>
      <xdr:row>42</xdr:row>
      <xdr:rowOff>57151</xdr:rowOff>
    </xdr:from>
    <xdr:to>
      <xdr:col>5</xdr:col>
      <xdr:colOff>276226</xdr:colOff>
      <xdr:row>46</xdr:row>
      <xdr:rowOff>76201</xdr:rowOff>
    </xdr:to>
    <xdr:pic>
      <xdr:nvPicPr>
        <xdr:cNvPr id="65" name="Graphic 64" descr="Cylinder with solid fill">
          <a:extLst>
            <a:ext uri="{FF2B5EF4-FFF2-40B4-BE49-F238E27FC236}">
              <a16:creationId xmlns:a16="http://schemas.microsoft.com/office/drawing/2014/main" id="{629E5702-C16A-40FF-A237-E20ACD233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381375" y="6858001"/>
          <a:ext cx="1228726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42</xdr:row>
      <xdr:rowOff>47625</xdr:rowOff>
    </xdr:from>
    <xdr:to>
      <xdr:col>7</xdr:col>
      <xdr:colOff>295276</xdr:colOff>
      <xdr:row>46</xdr:row>
      <xdr:rowOff>76200</xdr:rowOff>
    </xdr:to>
    <xdr:pic>
      <xdr:nvPicPr>
        <xdr:cNvPr id="66" name="Graphic 65" descr="Cylinder with solid fill">
          <a:extLst>
            <a:ext uri="{FF2B5EF4-FFF2-40B4-BE49-F238E27FC236}">
              <a16:creationId xmlns:a16="http://schemas.microsoft.com/office/drawing/2014/main" id="{51E519FD-76A9-4FF2-A94A-321EE8CF6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4676775" y="6848475"/>
          <a:ext cx="1247776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39</xdr:row>
      <xdr:rowOff>19050</xdr:rowOff>
    </xdr:from>
    <xdr:to>
      <xdr:col>6</xdr:col>
      <xdr:colOff>581025</xdr:colOff>
      <xdr:row>43</xdr:row>
      <xdr:rowOff>38100</xdr:rowOff>
    </xdr:to>
    <xdr:pic>
      <xdr:nvPicPr>
        <xdr:cNvPr id="67" name="Graphic 66" descr="Arrow: Rotate right with solid fill">
          <a:extLst>
            <a:ext uri="{FF2B5EF4-FFF2-40B4-BE49-F238E27FC236}">
              <a16:creationId xmlns:a16="http://schemas.microsoft.com/office/drawing/2014/main" id="{6987F386-FD39-42A1-81C6-2D2C85EEF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4276725" y="6334125"/>
          <a:ext cx="1285875" cy="66675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171451</xdr:colOff>
      <xdr:row>38</xdr:row>
      <xdr:rowOff>95250</xdr:rowOff>
    </xdr:from>
    <xdr:to>
      <xdr:col>3</xdr:col>
      <xdr:colOff>266700</xdr:colOff>
      <xdr:row>43</xdr:row>
      <xdr:rowOff>95250</xdr:rowOff>
    </xdr:to>
    <xdr:pic>
      <xdr:nvPicPr>
        <xdr:cNvPr id="73" name="Graphic 72" descr="Arrow: Rotate left with solid fill">
          <a:extLst>
            <a:ext uri="{FF2B5EF4-FFF2-40B4-BE49-F238E27FC236}">
              <a16:creationId xmlns:a16="http://schemas.microsoft.com/office/drawing/2014/main" id="{D1AFA4EF-ECA6-4974-8BA5-12CF1CEA3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571751" y="6248400"/>
          <a:ext cx="733424" cy="809625"/>
        </a:xfrm>
        <a:prstGeom prst="rect">
          <a:avLst/>
        </a:prstGeom>
      </xdr:spPr>
    </xdr:pic>
    <xdr:clientData/>
  </xdr:twoCellAnchor>
  <xdr:twoCellAnchor editAs="oneCell">
    <xdr:from>
      <xdr:col>4</xdr:col>
      <xdr:colOff>180329</xdr:colOff>
      <xdr:row>40</xdr:row>
      <xdr:rowOff>75285</xdr:rowOff>
    </xdr:from>
    <xdr:to>
      <xdr:col>4</xdr:col>
      <xdr:colOff>483654</xdr:colOff>
      <xdr:row>43</xdr:row>
      <xdr:rowOff>58930</xdr:rowOff>
    </xdr:to>
    <xdr:pic>
      <xdr:nvPicPr>
        <xdr:cNvPr id="75" name="Graphic 74" descr="Arrow: Counter-clockwise curve with solid fill">
          <a:extLst>
            <a:ext uri="{FF2B5EF4-FFF2-40B4-BE49-F238E27FC236}">
              <a16:creationId xmlns:a16="http://schemas.microsoft.com/office/drawing/2014/main" id="{0BAE4140-1467-4A99-991F-7E83812D2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 rot="13812882">
          <a:off x="3602482" y="7044907"/>
          <a:ext cx="469420" cy="303325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42</xdr:row>
      <xdr:rowOff>66675</xdr:rowOff>
    </xdr:from>
    <xdr:to>
      <xdr:col>9</xdr:col>
      <xdr:colOff>295275</xdr:colOff>
      <xdr:row>46</xdr:row>
      <xdr:rowOff>76200</xdr:rowOff>
    </xdr:to>
    <xdr:pic>
      <xdr:nvPicPr>
        <xdr:cNvPr id="78" name="Graphic 77" descr="Cylinder with solid fill">
          <a:extLst>
            <a:ext uri="{FF2B5EF4-FFF2-40B4-BE49-F238E27FC236}">
              <a16:creationId xmlns:a16="http://schemas.microsoft.com/office/drawing/2014/main" id="{1C561526-99A5-4A4B-80AB-B5BB96427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5981700" y="6867525"/>
          <a:ext cx="1238250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36</xdr:row>
      <xdr:rowOff>95250</xdr:rowOff>
    </xdr:from>
    <xdr:to>
      <xdr:col>10</xdr:col>
      <xdr:colOff>0</xdr:colOff>
      <xdr:row>43</xdr:row>
      <xdr:rowOff>133350</xdr:rowOff>
    </xdr:to>
    <xdr:pic>
      <xdr:nvPicPr>
        <xdr:cNvPr id="79" name="Graphic 78" descr="Arrow: Rotate right with solid fill">
          <a:extLst>
            <a:ext uri="{FF2B5EF4-FFF2-40B4-BE49-F238E27FC236}">
              <a16:creationId xmlns:a16="http://schemas.microsoft.com/office/drawing/2014/main" id="{2B1F5788-4D95-4A3F-9B53-FB0E39340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4210050" y="5924550"/>
          <a:ext cx="336232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A6C77-0613-4B01-83FB-852B9C2248A6}">
  <dimension ref="A1:Y157"/>
  <sheetViews>
    <sheetView zoomScaleNormal="100" zoomScalePageLayoutView="70" workbookViewId="0"/>
  </sheetViews>
  <sheetFormatPr defaultRowHeight="12.75" x14ac:dyDescent="0.2"/>
  <cols>
    <col min="1" max="2" width="2.7109375" style="4" customWidth="1"/>
    <col min="3" max="3" width="23.7109375" style="4" customWidth="1"/>
    <col min="4" max="5" width="14.7109375" style="14" customWidth="1"/>
    <col min="6" max="6" width="56.5703125" style="6" customWidth="1"/>
    <col min="7" max="7" width="12.5703125" style="7" customWidth="1"/>
    <col min="8" max="8" width="7.5703125" style="7" bestFit="1" customWidth="1"/>
    <col min="9" max="9" width="7.42578125" style="9" bestFit="1" customWidth="1"/>
    <col min="10" max="10" width="6" style="9" bestFit="1" customWidth="1"/>
    <col min="11" max="11" width="6.28515625" style="8" bestFit="1" customWidth="1"/>
    <col min="12" max="12" width="4.42578125" style="28" bestFit="1" customWidth="1"/>
    <col min="13" max="13" width="7" style="28" customWidth="1"/>
    <col min="14" max="14" width="9.7109375" style="32" customWidth="1"/>
    <col min="15" max="15" width="9.28515625" style="32" bestFit="1" customWidth="1"/>
    <col min="16" max="17" width="8.5703125" style="32" bestFit="1" customWidth="1"/>
    <col min="18" max="18" width="9.140625" style="32" bestFit="1" customWidth="1"/>
    <col min="19" max="19" width="9.42578125" style="32" customWidth="1"/>
    <col min="20" max="20" width="9" style="33" customWidth="1"/>
    <col min="21" max="21" width="8.7109375" style="34" bestFit="1" customWidth="1"/>
    <col min="22" max="22" width="8.42578125" style="35" bestFit="1" customWidth="1"/>
    <col min="23" max="23" width="6.28515625" style="33" bestFit="1" customWidth="1"/>
    <col min="24" max="24" width="6.85546875" style="33" bestFit="1" customWidth="1"/>
    <col min="25" max="25" width="7.28515625" style="33" bestFit="1" customWidth="1"/>
    <col min="26" max="16384" width="9.140625" style="15"/>
  </cols>
  <sheetData>
    <row r="1" spans="1:25" ht="15.75" x14ac:dyDescent="0.25">
      <c r="A1" s="3" t="s">
        <v>103</v>
      </c>
      <c r="E1" s="44" t="s">
        <v>58</v>
      </c>
      <c r="F1" s="45"/>
      <c r="G1" s="46"/>
      <c r="H1" s="46"/>
      <c r="I1" s="47"/>
      <c r="J1" s="20"/>
      <c r="K1" s="19"/>
      <c r="L1" s="29"/>
      <c r="M1" s="29"/>
    </row>
    <row r="2" spans="1:25" ht="15.75" x14ac:dyDescent="0.25">
      <c r="A2" s="3" t="s">
        <v>102</v>
      </c>
      <c r="E2" s="207" t="s">
        <v>245</v>
      </c>
      <c r="F2" s="48"/>
      <c r="G2" s="49"/>
      <c r="H2" s="49"/>
      <c r="I2" s="50"/>
      <c r="J2" s="20"/>
      <c r="K2" s="19"/>
      <c r="L2" s="29"/>
      <c r="M2" s="29"/>
    </row>
    <row r="3" spans="1:25" ht="16.5" thickBot="1" x14ac:dyDescent="0.3">
      <c r="A3" s="3" t="s">
        <v>38</v>
      </c>
      <c r="E3" s="88" t="s">
        <v>242</v>
      </c>
      <c r="F3" s="48"/>
      <c r="G3" s="49"/>
      <c r="H3" s="49"/>
      <c r="I3" s="50"/>
      <c r="J3" s="20"/>
      <c r="K3" s="19"/>
      <c r="L3" s="29"/>
      <c r="M3" s="29"/>
    </row>
    <row r="4" spans="1:25" s="17" customFormat="1" ht="15.75" x14ac:dyDescent="0.25">
      <c r="A4" s="3" t="s">
        <v>106</v>
      </c>
      <c r="B4" s="16"/>
      <c r="D4" s="21"/>
      <c r="E4" s="51"/>
      <c r="F4" s="16" t="s">
        <v>59</v>
      </c>
      <c r="G4" s="183">
        <v>5</v>
      </c>
      <c r="H4" s="203"/>
      <c r="I4" s="204"/>
      <c r="J4" s="22"/>
      <c r="K4" s="18"/>
      <c r="L4" s="52"/>
      <c r="M4" s="52"/>
      <c r="N4" s="32"/>
      <c r="O4" s="32"/>
      <c r="P4" s="32"/>
      <c r="Q4" s="32"/>
      <c r="R4" s="32"/>
      <c r="S4" s="32"/>
      <c r="T4" s="36"/>
      <c r="U4" s="37"/>
      <c r="V4" s="38"/>
      <c r="W4" s="36"/>
      <c r="X4" s="36"/>
      <c r="Y4" s="36"/>
    </row>
    <row r="5" spans="1:25" ht="15.75" x14ac:dyDescent="0.25">
      <c r="A5" s="15"/>
      <c r="C5" s="15"/>
      <c r="E5" s="51"/>
      <c r="F5" s="16" t="s">
        <v>100</v>
      </c>
      <c r="G5" s="184">
        <v>500000</v>
      </c>
      <c r="H5" s="205"/>
      <c r="I5" s="206"/>
      <c r="J5" s="22"/>
      <c r="K5" s="18"/>
      <c r="L5" s="29"/>
      <c r="M5" s="29"/>
    </row>
    <row r="6" spans="1:25" ht="15.75" x14ac:dyDescent="0.25">
      <c r="C6" s="15"/>
      <c r="E6" s="51"/>
      <c r="F6" s="16" t="s">
        <v>101</v>
      </c>
      <c r="G6" s="186">
        <v>0.27</v>
      </c>
      <c r="H6" s="205"/>
      <c r="I6" s="206"/>
      <c r="J6" s="22"/>
      <c r="K6" s="18"/>
      <c r="L6" s="29"/>
      <c r="M6" s="29"/>
    </row>
    <row r="7" spans="1:25" ht="15" x14ac:dyDescent="0.2">
      <c r="C7" s="15"/>
      <c r="E7" s="53"/>
      <c r="F7" s="54" t="s">
        <v>73</v>
      </c>
      <c r="G7" s="200" t="s">
        <v>62</v>
      </c>
      <c r="H7" s="201" t="s">
        <v>63</v>
      </c>
      <c r="I7" s="202" t="s">
        <v>64</v>
      </c>
      <c r="J7" s="22"/>
      <c r="K7" s="18"/>
      <c r="L7" s="29"/>
      <c r="M7" s="29"/>
    </row>
    <row r="8" spans="1:25" ht="15.75" x14ac:dyDescent="0.25">
      <c r="C8" s="15"/>
      <c r="E8" s="55" t="s">
        <v>74</v>
      </c>
      <c r="F8" s="16" t="s">
        <v>180</v>
      </c>
      <c r="G8" s="186">
        <v>0.5</v>
      </c>
      <c r="H8" s="187">
        <v>0.5</v>
      </c>
      <c r="I8" s="185">
        <v>0.5</v>
      </c>
      <c r="J8" s="22"/>
      <c r="K8" s="17"/>
      <c r="L8" s="29"/>
      <c r="M8" s="29"/>
    </row>
    <row r="9" spans="1:25" ht="15.75" x14ac:dyDescent="0.25">
      <c r="C9" s="15"/>
      <c r="E9" s="56" t="s">
        <v>74</v>
      </c>
      <c r="F9" s="57" t="s">
        <v>57</v>
      </c>
      <c r="G9" s="188">
        <v>0.5</v>
      </c>
      <c r="H9" s="189">
        <v>0.5</v>
      </c>
      <c r="I9" s="190">
        <v>0.5</v>
      </c>
      <c r="J9" s="22"/>
      <c r="K9" s="26"/>
      <c r="L9" s="29"/>
      <c r="M9" s="29"/>
    </row>
    <row r="10" spans="1:25" s="17" customFormat="1" ht="15.75" x14ac:dyDescent="0.25">
      <c r="A10" s="16"/>
      <c r="B10" s="16"/>
      <c r="D10" s="21"/>
      <c r="E10" s="55" t="s">
        <v>75</v>
      </c>
      <c r="F10" s="16" t="s">
        <v>77</v>
      </c>
      <c r="G10" s="186">
        <v>0</v>
      </c>
      <c r="H10" s="187">
        <v>0</v>
      </c>
      <c r="I10" s="185">
        <v>0</v>
      </c>
      <c r="J10" s="22"/>
      <c r="K10" s="26"/>
      <c r="L10" s="29"/>
      <c r="M10" s="29"/>
      <c r="N10" s="32"/>
      <c r="O10" s="32"/>
      <c r="P10" s="32"/>
      <c r="Q10" s="32"/>
      <c r="R10" s="32"/>
      <c r="S10" s="32"/>
      <c r="T10" s="36"/>
      <c r="U10" s="37"/>
      <c r="V10" s="38"/>
      <c r="W10" s="36"/>
      <c r="X10" s="36"/>
      <c r="Y10" s="36"/>
    </row>
    <row r="11" spans="1:25" ht="16.5" thickBot="1" x14ac:dyDescent="0.3">
      <c r="C11" s="15"/>
      <c r="E11" s="58" t="s">
        <v>75</v>
      </c>
      <c r="F11" s="59" t="s">
        <v>78</v>
      </c>
      <c r="G11" s="191">
        <v>1</v>
      </c>
      <c r="H11" s="192">
        <v>1</v>
      </c>
      <c r="I11" s="193">
        <v>1</v>
      </c>
      <c r="J11" s="22"/>
      <c r="K11" s="26"/>
      <c r="L11" s="29"/>
      <c r="M11" s="29"/>
    </row>
    <row r="13" spans="1:25" ht="33.75" x14ac:dyDescent="0.2">
      <c r="A13" s="1"/>
      <c r="F13" s="10" t="s">
        <v>69</v>
      </c>
      <c r="G13" s="11" t="s">
        <v>68</v>
      </c>
      <c r="H13" s="25" t="s">
        <v>79</v>
      </c>
      <c r="I13" s="24" t="s">
        <v>72</v>
      </c>
      <c r="J13" s="24" t="s">
        <v>76</v>
      </c>
      <c r="K13" s="12" t="s">
        <v>71</v>
      </c>
      <c r="L13" s="30" t="s">
        <v>70</v>
      </c>
      <c r="M13" s="89" t="s">
        <v>116</v>
      </c>
      <c r="N13" s="42" t="s">
        <v>104</v>
      </c>
      <c r="O13" s="43"/>
      <c r="P13" s="43"/>
      <c r="Q13" s="43"/>
      <c r="R13" s="43"/>
      <c r="S13" s="43"/>
      <c r="T13" s="60"/>
      <c r="U13" s="61"/>
      <c r="V13" s="62"/>
      <c r="W13" s="60"/>
      <c r="X13" s="60"/>
      <c r="Y13" s="63"/>
    </row>
    <row r="14" spans="1:25" ht="15.75" x14ac:dyDescent="0.25">
      <c r="A14" s="3" t="s">
        <v>5</v>
      </c>
    </row>
    <row r="15" spans="1:25" x14ac:dyDescent="0.2">
      <c r="B15" s="4" t="s">
        <v>7</v>
      </c>
      <c r="D15" s="14">
        <f>G15*K15</f>
        <v>750000</v>
      </c>
      <c r="F15" s="6" t="s">
        <v>105</v>
      </c>
      <c r="G15" s="7">
        <f>G5</f>
        <v>500000</v>
      </c>
      <c r="K15" s="8">
        <v>1.5</v>
      </c>
    </row>
    <row r="16" spans="1:25" x14ac:dyDescent="0.2">
      <c r="B16" s="4" t="s">
        <v>56</v>
      </c>
      <c r="D16" s="64">
        <v>0</v>
      </c>
    </row>
    <row r="17" spans="1:11" x14ac:dyDescent="0.2">
      <c r="C17" s="5" t="s">
        <v>41</v>
      </c>
      <c r="E17" s="21">
        <f>D15-D16</f>
        <v>750000</v>
      </c>
      <c r="F17" s="13"/>
    </row>
    <row r="19" spans="1:11" ht="15.75" x14ac:dyDescent="0.25">
      <c r="A19" s="3" t="s">
        <v>6</v>
      </c>
    </row>
    <row r="20" spans="1:11" x14ac:dyDescent="0.2">
      <c r="B20" s="4" t="s">
        <v>8</v>
      </c>
      <c r="D20" s="14">
        <v>0</v>
      </c>
    </row>
    <row r="21" spans="1:11" x14ac:dyDescent="0.2">
      <c r="B21" s="4" t="s">
        <v>48</v>
      </c>
      <c r="D21" s="14">
        <f>G21</f>
        <v>500000</v>
      </c>
      <c r="F21" s="6" t="s">
        <v>224</v>
      </c>
      <c r="G21" s="7">
        <f>G15</f>
        <v>500000</v>
      </c>
    </row>
    <row r="22" spans="1:11" x14ac:dyDescent="0.2">
      <c r="B22" s="4" t="s">
        <v>49</v>
      </c>
      <c r="D22" s="14">
        <f>G22*K22</f>
        <v>135000</v>
      </c>
      <c r="F22" s="6" t="s">
        <v>225</v>
      </c>
      <c r="G22" s="7">
        <f>G15</f>
        <v>500000</v>
      </c>
      <c r="K22" s="8">
        <f>G6</f>
        <v>0.27</v>
      </c>
    </row>
    <row r="23" spans="1:11" x14ac:dyDescent="0.2">
      <c r="B23" s="4" t="s">
        <v>9</v>
      </c>
      <c r="D23" s="14">
        <v>0</v>
      </c>
    </row>
    <row r="24" spans="1:11" x14ac:dyDescent="0.2">
      <c r="B24" s="4" t="s">
        <v>50</v>
      </c>
      <c r="D24" s="14">
        <v>0</v>
      </c>
    </row>
    <row r="25" spans="1:11" x14ac:dyDescent="0.2">
      <c r="B25" s="4" t="s">
        <v>10</v>
      </c>
      <c r="D25" s="14">
        <v>0</v>
      </c>
    </row>
    <row r="26" spans="1:11" x14ac:dyDescent="0.2">
      <c r="B26" s="4" t="s">
        <v>11</v>
      </c>
      <c r="D26" s="64">
        <f>SUM(D20:D25)</f>
        <v>635000</v>
      </c>
    </row>
    <row r="27" spans="1:11" x14ac:dyDescent="0.2">
      <c r="B27" s="4" t="s">
        <v>12</v>
      </c>
      <c r="D27" s="181">
        <v>0</v>
      </c>
    </row>
    <row r="28" spans="1:11" x14ac:dyDescent="0.2">
      <c r="C28" s="5" t="s">
        <v>6</v>
      </c>
      <c r="E28" s="64">
        <f>D26-D27</f>
        <v>635000</v>
      </c>
    </row>
    <row r="30" spans="1:11" x14ac:dyDescent="0.2">
      <c r="C30" s="5" t="s">
        <v>42</v>
      </c>
      <c r="E30" s="21">
        <f>E17-E28</f>
        <v>115000</v>
      </c>
    </row>
    <row r="32" spans="1:11" ht="15.75" x14ac:dyDescent="0.25">
      <c r="A32" s="3" t="s">
        <v>13</v>
      </c>
    </row>
    <row r="33" spans="2:11" x14ac:dyDescent="0.2">
      <c r="B33" s="4" t="s">
        <v>14</v>
      </c>
      <c r="D33" s="14">
        <v>0</v>
      </c>
    </row>
    <row r="34" spans="2:11" x14ac:dyDescent="0.2">
      <c r="B34" s="4" t="s">
        <v>15</v>
      </c>
      <c r="D34" s="14">
        <v>0</v>
      </c>
    </row>
    <row r="35" spans="2:11" x14ac:dyDescent="0.2">
      <c r="B35" s="4" t="s">
        <v>16</v>
      </c>
      <c r="D35" s="14">
        <v>0</v>
      </c>
    </row>
    <row r="36" spans="2:11" x14ac:dyDescent="0.2">
      <c r="B36" s="4" t="s">
        <v>17</v>
      </c>
      <c r="D36" s="14">
        <v>0</v>
      </c>
    </row>
    <row r="37" spans="2:11" x14ac:dyDescent="0.2">
      <c r="B37" s="4" t="s">
        <v>18</v>
      </c>
      <c r="D37" s="14">
        <v>0</v>
      </c>
    </row>
    <row r="38" spans="2:11" x14ac:dyDescent="0.2">
      <c r="B38" s="4" t="s">
        <v>51</v>
      </c>
      <c r="D38" s="14">
        <v>1000</v>
      </c>
      <c r="F38" s="6" t="s">
        <v>65</v>
      </c>
    </row>
    <row r="39" spans="2:11" x14ac:dyDescent="0.2">
      <c r="B39" s="4" t="s">
        <v>51</v>
      </c>
      <c r="D39" s="14">
        <f>H39*K39</f>
        <v>7000.0000000000009</v>
      </c>
      <c r="F39" s="6" t="s">
        <v>61</v>
      </c>
      <c r="G39" s="7">
        <f>E17</f>
        <v>750000</v>
      </c>
      <c r="H39" s="7">
        <v>100000</v>
      </c>
      <c r="K39" s="8">
        <v>7.0000000000000007E-2</v>
      </c>
    </row>
    <row r="40" spans="2:11" x14ac:dyDescent="0.2">
      <c r="B40" s="4" t="s">
        <v>51</v>
      </c>
      <c r="D40" s="14">
        <f>H40*K40</f>
        <v>19500</v>
      </c>
      <c r="F40" s="6" t="s">
        <v>60</v>
      </c>
      <c r="G40" s="7">
        <f>E17</f>
        <v>750000</v>
      </c>
      <c r="H40" s="7">
        <f>G40-H39</f>
        <v>650000</v>
      </c>
      <c r="K40" s="8">
        <v>0.03</v>
      </c>
    </row>
    <row r="41" spans="2:11" x14ac:dyDescent="0.2">
      <c r="B41" s="4" t="s">
        <v>51</v>
      </c>
      <c r="D41" s="14">
        <f t="shared" ref="D41:D46" si="0">G41*J41*K41</f>
        <v>0</v>
      </c>
      <c r="F41" s="23" t="s">
        <v>184</v>
      </c>
      <c r="G41" s="7">
        <f>E28*0.8</f>
        <v>508000</v>
      </c>
      <c r="J41" s="9">
        <f>G10</f>
        <v>0</v>
      </c>
      <c r="K41" s="8">
        <v>0.03</v>
      </c>
    </row>
    <row r="42" spans="2:11" x14ac:dyDescent="0.2">
      <c r="B42" s="4" t="s">
        <v>51</v>
      </c>
      <c r="D42" s="14">
        <f t="shared" si="0"/>
        <v>25400</v>
      </c>
      <c r="F42" s="23" t="s">
        <v>185</v>
      </c>
      <c r="G42" s="7">
        <f>E28*0.8</f>
        <v>508000</v>
      </c>
      <c r="J42" s="9">
        <f>G11</f>
        <v>1</v>
      </c>
      <c r="K42" s="8">
        <v>0.05</v>
      </c>
    </row>
    <row r="43" spans="2:11" x14ac:dyDescent="0.2">
      <c r="B43" s="4" t="s">
        <v>51</v>
      </c>
      <c r="D43" s="14">
        <f t="shared" si="0"/>
        <v>0</v>
      </c>
      <c r="F43" s="23" t="s">
        <v>186</v>
      </c>
      <c r="G43" s="7">
        <f>E28*0.1</f>
        <v>63500</v>
      </c>
      <c r="J43" s="9">
        <f>H10</f>
        <v>0</v>
      </c>
      <c r="K43" s="8">
        <v>0.04</v>
      </c>
    </row>
    <row r="44" spans="2:11" x14ac:dyDescent="0.2">
      <c r="B44" s="4" t="s">
        <v>51</v>
      </c>
      <c r="D44" s="14">
        <f t="shared" si="0"/>
        <v>3175</v>
      </c>
      <c r="F44" s="23" t="s">
        <v>188</v>
      </c>
      <c r="G44" s="7">
        <f>E28*0.1</f>
        <v>63500</v>
      </c>
      <c r="J44" s="9">
        <f>H11</f>
        <v>1</v>
      </c>
      <c r="K44" s="8">
        <v>0.05</v>
      </c>
    </row>
    <row r="45" spans="2:11" x14ac:dyDescent="0.2">
      <c r="B45" s="4" t="s">
        <v>51</v>
      </c>
      <c r="D45" s="14">
        <f t="shared" si="0"/>
        <v>0</v>
      </c>
      <c r="F45" s="23" t="s">
        <v>187</v>
      </c>
      <c r="G45" s="7">
        <f>E28*0.1</f>
        <v>63500</v>
      </c>
      <c r="J45" s="9">
        <f>I10</f>
        <v>0</v>
      </c>
      <c r="K45" s="8">
        <v>0.05</v>
      </c>
    </row>
    <row r="46" spans="2:11" x14ac:dyDescent="0.2">
      <c r="B46" s="4" t="s">
        <v>51</v>
      </c>
      <c r="D46" s="14">
        <f t="shared" si="0"/>
        <v>3175</v>
      </c>
      <c r="F46" s="23" t="s">
        <v>189</v>
      </c>
      <c r="G46" s="7">
        <f>E28*0.1</f>
        <v>63500</v>
      </c>
      <c r="J46" s="9">
        <f>I11</f>
        <v>1</v>
      </c>
      <c r="K46" s="8">
        <v>0.05</v>
      </c>
    </row>
    <row r="47" spans="2:11" x14ac:dyDescent="0.2">
      <c r="B47" s="4" t="s">
        <v>52</v>
      </c>
      <c r="D47" s="14">
        <v>0</v>
      </c>
    </row>
    <row r="48" spans="2:11" x14ac:dyDescent="0.2">
      <c r="B48" s="4" t="s">
        <v>19</v>
      </c>
      <c r="D48" s="14">
        <v>0</v>
      </c>
    </row>
    <row r="49" spans="2:12" x14ac:dyDescent="0.2">
      <c r="B49" s="4" t="s">
        <v>20</v>
      </c>
      <c r="D49" s="14">
        <v>0</v>
      </c>
    </row>
    <row r="50" spans="2:12" x14ac:dyDescent="0.2">
      <c r="B50" s="4" t="s">
        <v>53</v>
      </c>
      <c r="D50" s="14">
        <v>0</v>
      </c>
    </row>
    <row r="51" spans="2:12" x14ac:dyDescent="0.2">
      <c r="B51" s="4" t="s">
        <v>54</v>
      </c>
      <c r="D51" s="14">
        <v>2800</v>
      </c>
    </row>
    <row r="52" spans="2:12" x14ac:dyDescent="0.2">
      <c r="B52" s="27" t="s">
        <v>55</v>
      </c>
      <c r="D52" s="14">
        <f>(G52*J52*K52)*(L52/12)</f>
        <v>0</v>
      </c>
      <c r="F52" s="23" t="s">
        <v>226</v>
      </c>
      <c r="G52" s="7">
        <f>E28*0.8</f>
        <v>508000</v>
      </c>
      <c r="J52" s="9">
        <f>G10</f>
        <v>0</v>
      </c>
      <c r="K52" s="8">
        <v>0.09</v>
      </c>
      <c r="L52" s="28">
        <f>G4</f>
        <v>5</v>
      </c>
    </row>
    <row r="53" spans="2:12" x14ac:dyDescent="0.2">
      <c r="B53" s="27" t="s">
        <v>55</v>
      </c>
      <c r="D53" s="14">
        <f>(G53*J53*K53)*(L53/12)</f>
        <v>0</v>
      </c>
      <c r="F53" s="23" t="s">
        <v>227</v>
      </c>
      <c r="G53" s="7">
        <f>E28*0.1</f>
        <v>63500</v>
      </c>
      <c r="J53" s="9">
        <f>H10</f>
        <v>0</v>
      </c>
      <c r="K53" s="8">
        <v>0.12</v>
      </c>
      <c r="L53" s="28">
        <f>G4</f>
        <v>5</v>
      </c>
    </row>
    <row r="54" spans="2:12" x14ac:dyDescent="0.2">
      <c r="B54" s="27" t="s">
        <v>55</v>
      </c>
      <c r="D54" s="14">
        <f>(G54*J54*K54)*(L54/12)</f>
        <v>0</v>
      </c>
      <c r="F54" s="23" t="s">
        <v>228</v>
      </c>
      <c r="G54" s="7">
        <f>E28*0.1</f>
        <v>63500</v>
      </c>
      <c r="J54" s="9">
        <f>I10</f>
        <v>0</v>
      </c>
      <c r="K54" s="8">
        <v>0.15</v>
      </c>
      <c r="L54" s="28">
        <f>G4</f>
        <v>5</v>
      </c>
    </row>
    <row r="55" spans="2:12" x14ac:dyDescent="0.2">
      <c r="B55" s="4" t="s">
        <v>26</v>
      </c>
      <c r="D55" s="14">
        <v>1000</v>
      </c>
    </row>
    <row r="56" spans="2:12" x14ac:dyDescent="0.2">
      <c r="B56" s="1" t="s">
        <v>37</v>
      </c>
      <c r="D56" s="14">
        <v>0</v>
      </c>
    </row>
    <row r="57" spans="2:12" x14ac:dyDescent="0.2">
      <c r="B57" s="1" t="s">
        <v>21</v>
      </c>
      <c r="D57" s="14">
        <v>0</v>
      </c>
    </row>
    <row r="58" spans="2:12" x14ac:dyDescent="0.2">
      <c r="B58" s="1" t="s">
        <v>22</v>
      </c>
      <c r="D58" s="14">
        <v>0</v>
      </c>
    </row>
    <row r="59" spans="2:12" x14ac:dyDescent="0.2">
      <c r="B59" s="1" t="s">
        <v>24</v>
      </c>
      <c r="D59" s="14">
        <v>0</v>
      </c>
    </row>
    <row r="60" spans="2:12" x14ac:dyDescent="0.2">
      <c r="B60" s="1" t="s">
        <v>25</v>
      </c>
      <c r="D60" s="14">
        <v>0</v>
      </c>
    </row>
    <row r="61" spans="2:12" x14ac:dyDescent="0.2">
      <c r="B61" s="1" t="s">
        <v>39</v>
      </c>
      <c r="D61" s="14">
        <v>1500</v>
      </c>
    </row>
    <row r="62" spans="2:12" x14ac:dyDescent="0.2">
      <c r="B62" s="1" t="s">
        <v>27</v>
      </c>
      <c r="D62" s="14">
        <v>0</v>
      </c>
    </row>
    <row r="63" spans="2:12" x14ac:dyDescent="0.2">
      <c r="B63" s="1" t="s">
        <v>28</v>
      </c>
      <c r="D63" s="14">
        <v>0</v>
      </c>
    </row>
    <row r="64" spans="2:12" x14ac:dyDescent="0.2">
      <c r="B64" s="1" t="s">
        <v>23</v>
      </c>
      <c r="D64" s="14">
        <v>0</v>
      </c>
    </row>
    <row r="65" spans="1:6" x14ac:dyDescent="0.2">
      <c r="B65" s="1" t="s">
        <v>29</v>
      </c>
      <c r="D65" s="14">
        <v>0</v>
      </c>
    </row>
    <row r="66" spans="1:6" x14ac:dyDescent="0.2">
      <c r="B66" s="1" t="s">
        <v>30</v>
      </c>
      <c r="D66" s="14">
        <v>0</v>
      </c>
    </row>
    <row r="67" spans="1:6" x14ac:dyDescent="0.2">
      <c r="B67" s="1" t="s">
        <v>31</v>
      </c>
      <c r="D67" s="14">
        <v>1000</v>
      </c>
    </row>
    <row r="68" spans="1:6" x14ac:dyDescent="0.2">
      <c r="B68" s="1" t="s">
        <v>32</v>
      </c>
      <c r="D68" s="14">
        <v>0</v>
      </c>
    </row>
    <row r="69" spans="1:6" x14ac:dyDescent="0.2">
      <c r="B69" s="1" t="s">
        <v>33</v>
      </c>
      <c r="D69" s="14">
        <f>G5*0.01</f>
        <v>5000</v>
      </c>
      <c r="F69" s="6" t="s">
        <v>66</v>
      </c>
    </row>
    <row r="70" spans="1:6" x14ac:dyDescent="0.2">
      <c r="B70" s="1" t="s">
        <v>33</v>
      </c>
      <c r="D70" s="64">
        <f>E17*0.01</f>
        <v>7500</v>
      </c>
      <c r="F70" s="6" t="s">
        <v>67</v>
      </c>
    </row>
    <row r="71" spans="1:6" x14ac:dyDescent="0.2">
      <c r="C71" s="5" t="s">
        <v>43</v>
      </c>
      <c r="E71" s="64">
        <f>SUM(D33:D70)</f>
        <v>78050</v>
      </c>
    </row>
    <row r="73" spans="1:6" x14ac:dyDescent="0.2">
      <c r="C73" s="5" t="s">
        <v>44</v>
      </c>
      <c r="E73" s="21">
        <f>E30-E71</f>
        <v>36950</v>
      </c>
    </row>
    <row r="75" spans="1:6" ht="15.75" x14ac:dyDescent="0.25">
      <c r="A75" s="3" t="s">
        <v>34</v>
      </c>
    </row>
    <row r="76" spans="1:6" x14ac:dyDescent="0.2">
      <c r="B76" s="1" t="s">
        <v>35</v>
      </c>
      <c r="D76" s="14">
        <v>0</v>
      </c>
    </row>
    <row r="77" spans="1:6" x14ac:dyDescent="0.2">
      <c r="B77" s="1" t="s">
        <v>36</v>
      </c>
      <c r="D77" s="64">
        <v>0</v>
      </c>
    </row>
    <row r="78" spans="1:6" x14ac:dyDescent="0.2">
      <c r="C78" s="2" t="s">
        <v>45</v>
      </c>
      <c r="E78" s="21">
        <f>SUM(D76:D77)</f>
        <v>0</v>
      </c>
    </row>
    <row r="80" spans="1:6" ht="13.5" thickBot="1" x14ac:dyDescent="0.25">
      <c r="C80" s="2" t="s">
        <v>46</v>
      </c>
      <c r="E80" s="182">
        <f>E73+E78</f>
        <v>36950</v>
      </c>
    </row>
    <row r="81" spans="1:25" ht="13.5" thickTop="1" x14ac:dyDescent="0.2">
      <c r="C81" s="2" t="s">
        <v>98</v>
      </c>
      <c r="E81" s="21">
        <f>IF(E80&gt;0,E80,0)</f>
        <v>36950</v>
      </c>
    </row>
    <row r="82" spans="1:25" x14ac:dyDescent="0.2">
      <c r="C82" s="2" t="s">
        <v>97</v>
      </c>
      <c r="E82" s="21">
        <f>IF(E80&lt;0,E80,0)</f>
        <v>0</v>
      </c>
    </row>
    <row r="83" spans="1:25" ht="13.5" thickBot="1" x14ac:dyDescent="0.25"/>
    <row r="84" spans="1:25" ht="23.25" x14ac:dyDescent="0.25">
      <c r="A84" s="3" t="s">
        <v>40</v>
      </c>
      <c r="E84" s="31"/>
      <c r="N84" s="65" t="s">
        <v>107</v>
      </c>
      <c r="O84" s="66" t="s">
        <v>92</v>
      </c>
      <c r="P84" s="66" t="s">
        <v>107</v>
      </c>
      <c r="Q84" s="66" t="s">
        <v>112</v>
      </c>
      <c r="R84" s="66" t="s">
        <v>109</v>
      </c>
      <c r="S84" s="82" t="s">
        <v>93</v>
      </c>
    </row>
    <row r="85" spans="1:25" x14ac:dyDescent="0.2">
      <c r="B85" s="4" t="s">
        <v>229</v>
      </c>
      <c r="D85" s="14">
        <f>S85</f>
        <v>9525</v>
      </c>
      <c r="F85" s="23" t="s">
        <v>181</v>
      </c>
      <c r="G85" s="7">
        <f>E28*0.8</f>
        <v>508000</v>
      </c>
      <c r="I85" s="9">
        <f>G8</f>
        <v>0.5</v>
      </c>
      <c r="K85" s="8">
        <v>0.09</v>
      </c>
      <c r="L85" s="28">
        <f>G4</f>
        <v>5</v>
      </c>
      <c r="N85" s="67">
        <f>($G85*$I85*$K85)*($L85/12)</f>
        <v>9525</v>
      </c>
      <c r="O85" s="32">
        <f>E80</f>
        <v>36950</v>
      </c>
      <c r="P85" s="32">
        <f>N85</f>
        <v>9525</v>
      </c>
      <c r="Q85" s="32">
        <f>O85-P85</f>
        <v>27425</v>
      </c>
      <c r="R85" s="32">
        <f>IF(O85&gt;P85,P85,O85)</f>
        <v>9525</v>
      </c>
      <c r="S85" s="68">
        <f t="shared" ref="S85:S91" si="1">IF(R85&lt;0,0,R85)</f>
        <v>9525</v>
      </c>
    </row>
    <row r="86" spans="1:25" x14ac:dyDescent="0.2">
      <c r="B86" s="4" t="s">
        <v>230</v>
      </c>
      <c r="D86" s="14">
        <f>S86</f>
        <v>1587.5</v>
      </c>
      <c r="F86" s="23" t="s">
        <v>182</v>
      </c>
      <c r="G86" s="7">
        <f>E28*0.1</f>
        <v>63500</v>
      </c>
      <c r="I86" s="9">
        <f>H8</f>
        <v>0.5</v>
      </c>
      <c r="K86" s="8">
        <v>0.12</v>
      </c>
      <c r="L86" s="28">
        <f>G4</f>
        <v>5</v>
      </c>
      <c r="N86" s="67">
        <f t="shared" ref="N86:N92" si="2">($G86*$I86*$K86)*($L86/12)</f>
        <v>1587.5</v>
      </c>
      <c r="O86" s="32">
        <f>Q85</f>
        <v>27425</v>
      </c>
      <c r="P86" s="32">
        <f t="shared" ref="P86:P92" si="3">N86</f>
        <v>1587.5</v>
      </c>
      <c r="Q86" s="32">
        <f>O86-P86</f>
        <v>25837.5</v>
      </c>
      <c r="R86" s="32">
        <f>IF(O86&gt;P86,P86,O86)</f>
        <v>1587.5</v>
      </c>
      <c r="S86" s="68">
        <f t="shared" si="1"/>
        <v>1587.5</v>
      </c>
    </row>
    <row r="87" spans="1:25" x14ac:dyDescent="0.2">
      <c r="B87" s="4" t="s">
        <v>231</v>
      </c>
      <c r="D87" s="64">
        <f>S87</f>
        <v>1984.375</v>
      </c>
      <c r="F87" s="23" t="s">
        <v>183</v>
      </c>
      <c r="G87" s="7">
        <f>E28*0.1</f>
        <v>63500</v>
      </c>
      <c r="I87" s="9">
        <f>I8</f>
        <v>0.5</v>
      </c>
      <c r="K87" s="8">
        <v>0.15</v>
      </c>
      <c r="L87" s="28">
        <f>G4</f>
        <v>5</v>
      </c>
      <c r="N87" s="67">
        <f t="shared" si="2"/>
        <v>1984.375</v>
      </c>
      <c r="O87" s="32">
        <f>Q86</f>
        <v>25837.5</v>
      </c>
      <c r="P87" s="32">
        <f t="shared" si="3"/>
        <v>1984.375</v>
      </c>
      <c r="Q87" s="32">
        <f>O87-P87</f>
        <v>23853.125</v>
      </c>
      <c r="R87" s="32">
        <f>IF(O87&gt;P87,P87,O87)</f>
        <v>1984.375</v>
      </c>
      <c r="S87" s="68">
        <f t="shared" si="1"/>
        <v>1984.375</v>
      </c>
    </row>
    <row r="88" spans="1:25" ht="13.5" thickBot="1" x14ac:dyDescent="0.25">
      <c r="C88" s="2" t="s">
        <v>232</v>
      </c>
      <c r="E88" s="21">
        <f>SUM(D85:D87)</f>
        <v>13096.875</v>
      </c>
      <c r="N88" s="69">
        <f>SUM(N85:N87)</f>
        <v>13096.875</v>
      </c>
      <c r="S88" s="68"/>
    </row>
    <row r="89" spans="1:25" ht="23.25" thickTop="1" x14ac:dyDescent="0.2">
      <c r="N89" s="67"/>
      <c r="S89" s="68"/>
      <c r="T89" s="70" t="s">
        <v>83</v>
      </c>
      <c r="U89" s="71" t="s">
        <v>84</v>
      </c>
      <c r="V89" s="72" t="s">
        <v>80</v>
      </c>
      <c r="W89" s="70" t="s">
        <v>85</v>
      </c>
      <c r="X89" s="70" t="s">
        <v>81</v>
      </c>
      <c r="Y89" s="73" t="s">
        <v>82</v>
      </c>
    </row>
    <row r="90" spans="1:25" x14ac:dyDescent="0.2">
      <c r="B90" s="4" t="s">
        <v>233</v>
      </c>
      <c r="D90" s="14">
        <f>S90</f>
        <v>10583.333333333334</v>
      </c>
      <c r="F90" s="6" t="s">
        <v>193</v>
      </c>
      <c r="G90" s="7">
        <f>E28*0.8</f>
        <v>508000</v>
      </c>
      <c r="I90" s="9">
        <f>G9</f>
        <v>0.5</v>
      </c>
      <c r="K90" s="8">
        <v>0.1</v>
      </c>
      <c r="L90" s="28">
        <f>G4</f>
        <v>5</v>
      </c>
      <c r="N90" s="67">
        <f t="shared" si="2"/>
        <v>10583.333333333334</v>
      </c>
      <c r="O90" s="32">
        <f>Q87</f>
        <v>23853.125</v>
      </c>
      <c r="P90" s="32">
        <f t="shared" si="3"/>
        <v>10583.333333333334</v>
      </c>
      <c r="Q90" s="32">
        <f>O90-P90</f>
        <v>13269.791666666666</v>
      </c>
      <c r="R90" s="32">
        <f>IF(O90&gt;P90,P90,O90)</f>
        <v>10583.333333333334</v>
      </c>
      <c r="S90" s="68">
        <f t="shared" si="1"/>
        <v>10583.333333333334</v>
      </c>
      <c r="T90" s="36">
        <f>D90/E93</f>
        <v>0.69565217391304346</v>
      </c>
      <c r="U90" s="37">
        <f>(E80-E88)*T90</f>
        <v>16593.478260869564</v>
      </c>
      <c r="V90" s="38">
        <f>12/L90</f>
        <v>2.4</v>
      </c>
      <c r="W90" s="36">
        <f>(U90*V90)/(G90*I90)</f>
        <v>0.15678877096884627</v>
      </c>
      <c r="X90" s="36">
        <f>K90-W90</f>
        <v>-5.6788770968846269E-2</v>
      </c>
      <c r="Y90" s="74">
        <f>W90/K90</f>
        <v>1.5678877096884627</v>
      </c>
    </row>
    <row r="91" spans="1:25" x14ac:dyDescent="0.2">
      <c r="B91" s="4" t="s">
        <v>234</v>
      </c>
      <c r="D91" s="14">
        <f>S91</f>
        <v>1984.375</v>
      </c>
      <c r="F91" s="6" t="s">
        <v>194</v>
      </c>
      <c r="G91" s="7">
        <f>E28*0.1</f>
        <v>63500</v>
      </c>
      <c r="I91" s="9">
        <f>H9</f>
        <v>0.5</v>
      </c>
      <c r="K91" s="8">
        <v>0.15</v>
      </c>
      <c r="L91" s="28">
        <f>G4</f>
        <v>5</v>
      </c>
      <c r="N91" s="67">
        <f t="shared" si="2"/>
        <v>1984.375</v>
      </c>
      <c r="O91" s="32">
        <f>Q90</f>
        <v>13269.791666666666</v>
      </c>
      <c r="P91" s="32">
        <f t="shared" si="3"/>
        <v>1984.375</v>
      </c>
      <c r="Q91" s="32">
        <f>O91-P91</f>
        <v>11285.416666666666</v>
      </c>
      <c r="R91" s="32">
        <f>IF(O91&gt;P91,P91,O91)</f>
        <v>1984.375</v>
      </c>
      <c r="S91" s="68">
        <f t="shared" si="1"/>
        <v>1984.375</v>
      </c>
      <c r="T91" s="36">
        <f>D91/E93</f>
        <v>0.13043478260869565</v>
      </c>
      <c r="U91" s="37">
        <f>(E80-E88)*T91</f>
        <v>3111.2771739130435</v>
      </c>
      <c r="V91" s="38">
        <f>12/L91</f>
        <v>2.4</v>
      </c>
      <c r="W91" s="36">
        <f>(U91*V91)/(G91*I91)</f>
        <v>0.23518315645326943</v>
      </c>
      <c r="X91" s="36">
        <f>K91-W91</f>
        <v>-8.5183156453269432E-2</v>
      </c>
      <c r="Y91" s="74">
        <f>W91/K91</f>
        <v>1.5678877096884629</v>
      </c>
    </row>
    <row r="92" spans="1:25" x14ac:dyDescent="0.2">
      <c r="B92" s="4" t="s">
        <v>235</v>
      </c>
      <c r="D92" s="64">
        <f>S92</f>
        <v>2645.8333333333335</v>
      </c>
      <c r="F92" s="6" t="s">
        <v>195</v>
      </c>
      <c r="G92" s="7">
        <f>E28*0.1</f>
        <v>63500</v>
      </c>
      <c r="I92" s="9">
        <f>I9</f>
        <v>0.5</v>
      </c>
      <c r="K92" s="8">
        <v>0.2</v>
      </c>
      <c r="L92" s="28">
        <f>G4</f>
        <v>5</v>
      </c>
      <c r="N92" s="67">
        <f t="shared" si="2"/>
        <v>2645.8333333333335</v>
      </c>
      <c r="O92" s="32">
        <f>Q91</f>
        <v>11285.416666666666</v>
      </c>
      <c r="P92" s="32">
        <f t="shared" si="3"/>
        <v>2645.8333333333335</v>
      </c>
      <c r="Q92" s="32">
        <f>O92-P92</f>
        <v>8639.5833333333321</v>
      </c>
      <c r="R92" s="32">
        <f>IF(O92&gt;P92,P92,O92)</f>
        <v>2645.8333333333335</v>
      </c>
      <c r="S92" s="68">
        <f>IF(R92&lt;0,0,R92)</f>
        <v>2645.8333333333335</v>
      </c>
      <c r="T92" s="36">
        <f>D92/E93</f>
        <v>0.17391304347826086</v>
      </c>
      <c r="U92" s="37">
        <f>(E80-E88)*T92</f>
        <v>4148.369565217391</v>
      </c>
      <c r="V92" s="38">
        <f>12/L92</f>
        <v>2.4</v>
      </c>
      <c r="W92" s="36">
        <f>(U92*V92)/(G92*I92)</f>
        <v>0.31357754193769255</v>
      </c>
      <c r="X92" s="36">
        <f>K92-W92</f>
        <v>-0.11357754193769254</v>
      </c>
      <c r="Y92" s="74">
        <f>W92/K92</f>
        <v>1.5678877096884627</v>
      </c>
    </row>
    <row r="93" spans="1:25" ht="13.5" thickBot="1" x14ac:dyDescent="0.25">
      <c r="C93" s="2" t="s">
        <v>236</v>
      </c>
      <c r="E93" s="21">
        <f>SUM(D90:D92)</f>
        <v>15213.541666666668</v>
      </c>
      <c r="N93" s="75">
        <f>SUM(N90:N92)</f>
        <v>15213.541666666668</v>
      </c>
      <c r="O93" s="76"/>
      <c r="P93" s="76"/>
      <c r="Q93" s="76"/>
      <c r="R93" s="76"/>
      <c r="S93" s="77"/>
      <c r="T93" s="78"/>
      <c r="U93" s="79"/>
      <c r="V93" s="80"/>
      <c r="W93" s="78"/>
      <c r="X93" s="78"/>
      <c r="Y93" s="81">
        <f>E61/E93</f>
        <v>0</v>
      </c>
    </row>
    <row r="94" spans="1:25" x14ac:dyDescent="0.2">
      <c r="C94" s="2"/>
      <c r="E94" s="21"/>
      <c r="T94" s="36"/>
      <c r="U94" s="37"/>
      <c r="V94" s="38"/>
      <c r="W94" s="36"/>
      <c r="X94" s="36"/>
      <c r="Y94" s="36"/>
    </row>
    <row r="95" spans="1:25" ht="13.5" thickBot="1" x14ac:dyDescent="0.25">
      <c r="C95" s="2" t="s">
        <v>237</v>
      </c>
      <c r="E95" s="182">
        <f>E88+E93</f>
        <v>28310.416666666668</v>
      </c>
      <c r="T95" s="36"/>
      <c r="U95" s="37"/>
      <c r="V95" s="38"/>
      <c r="W95" s="36"/>
      <c r="X95" s="36"/>
      <c r="Y95" s="36"/>
    </row>
    <row r="96" spans="1:25" ht="13.5" thickTop="1" x14ac:dyDescent="0.2"/>
    <row r="97" spans="1:25" ht="13.5" thickBot="1" x14ac:dyDescent="0.25">
      <c r="C97" s="5" t="s">
        <v>47</v>
      </c>
      <c r="E97" s="182">
        <f>E80-E95</f>
        <v>8639.5833333333321</v>
      </c>
    </row>
    <row r="98" spans="1:25" ht="14.25" thickTop="1" thickBot="1" x14ac:dyDescent="0.25">
      <c r="C98" s="2"/>
      <c r="E98" s="21"/>
    </row>
    <row r="99" spans="1:25" s="87" customFormat="1" ht="23.25" x14ac:dyDescent="0.25">
      <c r="A99" s="3" t="s">
        <v>214</v>
      </c>
      <c r="B99" s="4"/>
      <c r="C99" s="4"/>
      <c r="D99" s="14"/>
      <c r="E99" s="31"/>
      <c r="F99" s="6"/>
      <c r="G99" s="7"/>
      <c r="H99" s="7"/>
      <c r="I99" s="9"/>
      <c r="J99" s="9"/>
      <c r="K99" s="8"/>
      <c r="L99" s="28"/>
      <c r="M99" s="28"/>
      <c r="N99" s="65" t="s">
        <v>108</v>
      </c>
      <c r="O99" s="66" t="s">
        <v>94</v>
      </c>
      <c r="P99" s="66" t="s">
        <v>108</v>
      </c>
      <c r="Q99" s="66" t="s">
        <v>111</v>
      </c>
      <c r="R99" s="66" t="s">
        <v>110</v>
      </c>
      <c r="S99" s="82" t="s">
        <v>93</v>
      </c>
      <c r="T99" s="83"/>
      <c r="U99" s="84"/>
      <c r="V99" s="85"/>
      <c r="W99" s="86"/>
      <c r="X99" s="86"/>
      <c r="Y99" s="86"/>
    </row>
    <row r="100" spans="1:25" x14ac:dyDescent="0.2">
      <c r="B100" s="4" t="s">
        <v>196</v>
      </c>
      <c r="D100" s="14">
        <f>S100</f>
        <v>0</v>
      </c>
      <c r="F100" s="23" t="s">
        <v>181</v>
      </c>
      <c r="G100" s="7">
        <f>-E28*0.8</f>
        <v>-508000</v>
      </c>
      <c r="I100" s="9">
        <f>G8</f>
        <v>0.5</v>
      </c>
      <c r="K100" s="8">
        <v>0.09</v>
      </c>
      <c r="L100" s="28">
        <f>G4</f>
        <v>5</v>
      </c>
      <c r="N100" s="67">
        <v>0</v>
      </c>
      <c r="O100" s="32">
        <f>Q101</f>
        <v>15213.541666666668</v>
      </c>
      <c r="P100" s="32">
        <f t="shared" ref="P100:P106" si="4">N100</f>
        <v>0</v>
      </c>
      <c r="Q100" s="32">
        <f t="shared" ref="Q100:Q106" si="5">O100-P100</f>
        <v>15213.541666666668</v>
      </c>
      <c r="R100" s="32">
        <f t="shared" ref="R100:R106" si="6">IF(O100&lt;P100,P100,O100)</f>
        <v>15213.541666666668</v>
      </c>
      <c r="S100" s="68">
        <f t="shared" ref="S100:S106" si="7">IF(R100&lt;0,R100,0)</f>
        <v>0</v>
      </c>
    </row>
    <row r="101" spans="1:25" x14ac:dyDescent="0.2">
      <c r="B101" s="4" t="s">
        <v>197</v>
      </c>
      <c r="D101" s="14">
        <f>S101</f>
        <v>0</v>
      </c>
      <c r="F101" s="23" t="s">
        <v>182</v>
      </c>
      <c r="G101" s="7">
        <f>-E28*0.1</f>
        <v>-63500</v>
      </c>
      <c r="I101" s="9">
        <f>H8</f>
        <v>0.5</v>
      </c>
      <c r="K101" s="8">
        <v>0.12</v>
      </c>
      <c r="L101" s="28">
        <f>G4</f>
        <v>5</v>
      </c>
      <c r="N101" s="67">
        <v>0</v>
      </c>
      <c r="O101" s="32">
        <f>Q102</f>
        <v>15213.541666666668</v>
      </c>
      <c r="P101" s="32">
        <f t="shared" si="4"/>
        <v>0</v>
      </c>
      <c r="Q101" s="32">
        <f t="shared" si="5"/>
        <v>15213.541666666668</v>
      </c>
      <c r="R101" s="32">
        <f t="shared" si="6"/>
        <v>15213.541666666668</v>
      </c>
      <c r="S101" s="68">
        <f t="shared" si="7"/>
        <v>0</v>
      </c>
    </row>
    <row r="102" spans="1:25" x14ac:dyDescent="0.2">
      <c r="B102" s="4" t="s">
        <v>198</v>
      </c>
      <c r="D102" s="64">
        <f>S102</f>
        <v>0</v>
      </c>
      <c r="F102" s="23" t="s">
        <v>183</v>
      </c>
      <c r="G102" s="7">
        <f>-E28*0.1</f>
        <v>-63500</v>
      </c>
      <c r="I102" s="9">
        <f>I8</f>
        <v>0.5</v>
      </c>
      <c r="K102" s="8">
        <v>0.15</v>
      </c>
      <c r="L102" s="28">
        <f>G4</f>
        <v>5</v>
      </c>
      <c r="N102" s="67">
        <v>0</v>
      </c>
      <c r="O102" s="32">
        <f>Q105</f>
        <v>15213.541666666668</v>
      </c>
      <c r="P102" s="32">
        <f t="shared" si="4"/>
        <v>0</v>
      </c>
      <c r="Q102" s="32">
        <f t="shared" si="5"/>
        <v>15213.541666666668</v>
      </c>
      <c r="R102" s="32">
        <f t="shared" si="6"/>
        <v>15213.541666666668</v>
      </c>
      <c r="S102" s="68">
        <f t="shared" si="7"/>
        <v>0</v>
      </c>
    </row>
    <row r="103" spans="1:25" ht="13.5" thickBot="1" x14ac:dyDescent="0.25">
      <c r="C103" s="5" t="s">
        <v>117</v>
      </c>
      <c r="E103" s="21">
        <f>SUM(D100:D102)</f>
        <v>0</v>
      </c>
      <c r="N103" s="69">
        <f>SUM(N100:N102)</f>
        <v>0</v>
      </c>
      <c r="S103" s="68"/>
      <c r="T103" s="36"/>
      <c r="U103" s="37"/>
      <c r="V103" s="38"/>
      <c r="W103" s="36"/>
      <c r="X103" s="36"/>
      <c r="Y103" s="36"/>
    </row>
    <row r="104" spans="1:25" ht="13.5" thickTop="1" x14ac:dyDescent="0.2">
      <c r="N104" s="67"/>
      <c r="S104" s="68"/>
      <c r="T104" s="39"/>
      <c r="U104" s="40"/>
      <c r="V104" s="41"/>
      <c r="W104" s="39"/>
      <c r="X104" s="39"/>
      <c r="Y104" s="39"/>
    </row>
    <row r="105" spans="1:25" x14ac:dyDescent="0.2">
      <c r="B105" s="4" t="s">
        <v>199</v>
      </c>
      <c r="D105" s="14">
        <f>S105</f>
        <v>0</v>
      </c>
      <c r="F105" s="6" t="s">
        <v>193</v>
      </c>
      <c r="G105" s="7">
        <f>-E28*0.8</f>
        <v>-508000</v>
      </c>
      <c r="I105" s="9">
        <f>G9</f>
        <v>0.5</v>
      </c>
      <c r="K105" s="8">
        <v>0.1</v>
      </c>
      <c r="L105" s="28">
        <f>G4</f>
        <v>5</v>
      </c>
      <c r="N105" s="67">
        <f t="shared" ref="N105:N106" si="8">(G105*I105*K105)*(L105/12)</f>
        <v>-10583.333333333334</v>
      </c>
      <c r="O105" s="32">
        <f>Q106</f>
        <v>4630.2083333333339</v>
      </c>
      <c r="P105" s="32">
        <f t="shared" si="4"/>
        <v>-10583.333333333334</v>
      </c>
      <c r="Q105" s="32">
        <f t="shared" si="5"/>
        <v>15213.541666666668</v>
      </c>
      <c r="R105" s="32">
        <f t="shared" si="6"/>
        <v>4630.2083333333339</v>
      </c>
      <c r="S105" s="68">
        <f t="shared" si="7"/>
        <v>0</v>
      </c>
      <c r="T105" s="36"/>
      <c r="U105" s="37"/>
      <c r="V105" s="38"/>
      <c r="W105" s="36"/>
      <c r="X105" s="36"/>
      <c r="Y105" s="36"/>
    </row>
    <row r="106" spans="1:25" x14ac:dyDescent="0.2">
      <c r="B106" s="4" t="s">
        <v>200</v>
      </c>
      <c r="D106" s="14">
        <f>S106</f>
        <v>0</v>
      </c>
      <c r="F106" s="6" t="s">
        <v>194</v>
      </c>
      <c r="G106" s="7">
        <f>-E28*0.1</f>
        <v>-63500</v>
      </c>
      <c r="I106" s="9">
        <f>H9</f>
        <v>0.5</v>
      </c>
      <c r="K106" s="8">
        <v>0.15</v>
      </c>
      <c r="L106" s="28">
        <f>G4</f>
        <v>5</v>
      </c>
      <c r="N106" s="67">
        <f t="shared" si="8"/>
        <v>-1984.375</v>
      </c>
      <c r="O106" s="32">
        <f>Q107</f>
        <v>2645.8333333333335</v>
      </c>
      <c r="P106" s="32">
        <f t="shared" si="4"/>
        <v>-1984.375</v>
      </c>
      <c r="Q106" s="32">
        <f t="shared" si="5"/>
        <v>4630.2083333333339</v>
      </c>
      <c r="R106" s="32">
        <f t="shared" si="6"/>
        <v>2645.8333333333335</v>
      </c>
      <c r="S106" s="68">
        <f t="shared" si="7"/>
        <v>0</v>
      </c>
      <c r="T106" s="36"/>
      <c r="U106" s="37"/>
      <c r="V106" s="38"/>
      <c r="W106" s="36"/>
      <c r="X106" s="36"/>
      <c r="Y106" s="36"/>
    </row>
    <row r="107" spans="1:25" x14ac:dyDescent="0.2">
      <c r="B107" s="4" t="s">
        <v>201</v>
      </c>
      <c r="D107" s="64">
        <f>S107</f>
        <v>0</v>
      </c>
      <c r="F107" s="6" t="s">
        <v>195</v>
      </c>
      <c r="G107" s="7">
        <f>-E28*0.1</f>
        <v>-63500</v>
      </c>
      <c r="I107" s="9">
        <f>I9</f>
        <v>0.5</v>
      </c>
      <c r="K107" s="8">
        <v>0.2</v>
      </c>
      <c r="L107" s="28">
        <f>G4</f>
        <v>5</v>
      </c>
      <c r="N107" s="67">
        <f>(G107*I107*K107)*(L107/12)</f>
        <v>-2645.8333333333335</v>
      </c>
      <c r="O107" s="32">
        <f>E82</f>
        <v>0</v>
      </c>
      <c r="P107" s="32">
        <f>N107</f>
        <v>-2645.8333333333335</v>
      </c>
      <c r="Q107" s="32">
        <f>O107-P107</f>
        <v>2645.8333333333335</v>
      </c>
      <c r="R107" s="32">
        <f>IF(O107&lt;P107,P107,O107)</f>
        <v>0</v>
      </c>
      <c r="S107" s="68">
        <f>IF(R107&lt;0,R107,0)</f>
        <v>0</v>
      </c>
      <c r="T107" s="36"/>
      <c r="U107" s="37"/>
      <c r="V107" s="38"/>
      <c r="W107" s="36"/>
      <c r="X107" s="36"/>
      <c r="Y107" s="36"/>
    </row>
    <row r="108" spans="1:25" ht="13.5" thickBot="1" x14ac:dyDescent="0.25">
      <c r="C108" s="5" t="s">
        <v>117</v>
      </c>
      <c r="E108" s="21">
        <f>SUM(D105:D107)</f>
        <v>0</v>
      </c>
      <c r="N108" s="75">
        <f>SUM(N105:N107)</f>
        <v>-15213.541666666668</v>
      </c>
      <c r="O108" s="76"/>
      <c r="P108" s="76"/>
      <c r="Q108" s="76"/>
      <c r="R108" s="76"/>
      <c r="S108" s="77"/>
      <c r="T108" s="36"/>
      <c r="U108" s="37"/>
      <c r="V108" s="38"/>
      <c r="W108" s="36"/>
      <c r="X108" s="36"/>
      <c r="Y108" s="36"/>
    </row>
    <row r="110" spans="1:25" ht="13.5" thickBot="1" x14ac:dyDescent="0.25">
      <c r="C110" s="5" t="s">
        <v>118</v>
      </c>
      <c r="E110" s="182">
        <f>E103+E108</f>
        <v>0</v>
      </c>
    </row>
    <row r="111" spans="1:25" ht="13.5" thickTop="1" x14ac:dyDescent="0.2"/>
    <row r="112" spans="1:25" ht="15.75" x14ac:dyDescent="0.25">
      <c r="A112" s="3" t="s">
        <v>216</v>
      </c>
    </row>
    <row r="113" spans="1:20" x14ac:dyDescent="0.2">
      <c r="B113" s="4" t="s">
        <v>190</v>
      </c>
      <c r="D113" s="14">
        <f>G113*K113*M113</f>
        <v>431.97916666666663</v>
      </c>
      <c r="F113" s="6" t="s">
        <v>91</v>
      </c>
      <c r="G113" s="7">
        <f>IF(E$97&gt;0,E$97,0)</f>
        <v>8639.5833333333321</v>
      </c>
      <c r="K113" s="8">
        <v>0.1</v>
      </c>
      <c r="M113" s="9">
        <v>0.5</v>
      </c>
    </row>
    <row r="114" spans="1:20" x14ac:dyDescent="0.2">
      <c r="B114" s="4" t="s">
        <v>191</v>
      </c>
      <c r="D114" s="14">
        <f t="shared" ref="D114:D115" si="9">G114*K114*M114</f>
        <v>863.95833333333326</v>
      </c>
      <c r="F114" s="6" t="s">
        <v>96</v>
      </c>
      <c r="G114" s="7">
        <f>IF(E$97&gt;0,E$97,0)</f>
        <v>8639.5833333333321</v>
      </c>
      <c r="K114" s="8">
        <v>0.2</v>
      </c>
      <c r="M114" s="9">
        <v>0.5</v>
      </c>
    </row>
    <row r="115" spans="1:20" x14ac:dyDescent="0.2">
      <c r="B115" s="4" t="s">
        <v>192</v>
      </c>
      <c r="D115" s="64">
        <f t="shared" si="9"/>
        <v>3023.8541666666661</v>
      </c>
      <c r="F115" s="6" t="s">
        <v>95</v>
      </c>
      <c r="G115" s="7">
        <f>IF(E$97&gt;0,E$97,0)</f>
        <v>8639.5833333333321</v>
      </c>
      <c r="K115" s="8">
        <v>0.7</v>
      </c>
      <c r="M115" s="9">
        <v>0.5</v>
      </c>
    </row>
    <row r="116" spans="1:20" x14ac:dyDescent="0.2">
      <c r="C116" s="5" t="s">
        <v>87</v>
      </c>
      <c r="E116" s="21">
        <f>SUM(D113:D115)</f>
        <v>4319.7916666666661</v>
      </c>
      <c r="F116" s="6" t="s">
        <v>202</v>
      </c>
      <c r="M116" s="9"/>
    </row>
    <row r="117" spans="1:20" x14ac:dyDescent="0.2">
      <c r="M117" s="9"/>
    </row>
    <row r="118" spans="1:20" x14ac:dyDescent="0.2">
      <c r="B118" s="4" t="s">
        <v>132</v>
      </c>
      <c r="D118" s="14">
        <f>G118*K118*M118</f>
        <v>1439.7865624999997</v>
      </c>
      <c r="F118" s="6" t="s">
        <v>88</v>
      </c>
      <c r="G118" s="7">
        <f>IF(E$97&gt;0,E$97,0)</f>
        <v>8639.5833333333321</v>
      </c>
      <c r="K118" s="8">
        <v>0.33329999999999999</v>
      </c>
      <c r="M118" s="9">
        <v>0.5</v>
      </c>
    </row>
    <row r="119" spans="1:20" x14ac:dyDescent="0.2">
      <c r="B119" s="4" t="s">
        <v>132</v>
      </c>
      <c r="D119" s="14">
        <f t="shared" ref="D119:D120" si="10">G119*K119*M119</f>
        <v>1439.7865624999997</v>
      </c>
      <c r="F119" s="6" t="s">
        <v>89</v>
      </c>
      <c r="G119" s="7">
        <f>IF(E$97&gt;0,E$97,0)</f>
        <v>8639.5833333333321</v>
      </c>
      <c r="K119" s="8">
        <v>0.33329999999999999</v>
      </c>
      <c r="M119" s="9">
        <v>0.5</v>
      </c>
    </row>
    <row r="120" spans="1:20" x14ac:dyDescent="0.2">
      <c r="B120" s="4" t="s">
        <v>132</v>
      </c>
      <c r="D120" s="64">
        <f t="shared" si="10"/>
        <v>1439.7865624999997</v>
      </c>
      <c r="F120" s="6" t="s">
        <v>90</v>
      </c>
      <c r="G120" s="7">
        <f>IF(E$97&gt;0,E$97,0)</f>
        <v>8639.5833333333321</v>
      </c>
      <c r="K120" s="8">
        <v>0.33329999999999999</v>
      </c>
      <c r="M120" s="9">
        <v>0.5</v>
      </c>
      <c r="N120" s="15"/>
      <c r="O120" s="15"/>
      <c r="P120" s="15"/>
      <c r="Q120" s="15"/>
      <c r="R120" s="15"/>
      <c r="S120" s="15"/>
    </row>
    <row r="121" spans="1:20" x14ac:dyDescent="0.2">
      <c r="C121" s="5" t="s">
        <v>87</v>
      </c>
      <c r="E121" s="21">
        <f>SUM(D118:D120)</f>
        <v>4319.3596874999994</v>
      </c>
      <c r="F121" s="6" t="s">
        <v>203</v>
      </c>
    </row>
    <row r="123" spans="1:20" ht="13.5" thickBot="1" x14ac:dyDescent="0.25">
      <c r="C123" s="5" t="s">
        <v>99</v>
      </c>
      <c r="E123" s="182">
        <f>E116+E121</f>
        <v>8639.1513541666645</v>
      </c>
    </row>
    <row r="124" spans="1:20" ht="14.25" thickTop="1" thickBot="1" x14ac:dyDescent="0.25"/>
    <row r="125" spans="1:20" ht="45.75" x14ac:dyDescent="0.25">
      <c r="A125" s="3" t="s">
        <v>215</v>
      </c>
      <c r="N125" s="65" t="s">
        <v>108</v>
      </c>
      <c r="O125" s="66" t="s">
        <v>94</v>
      </c>
      <c r="P125" s="66" t="s">
        <v>108</v>
      </c>
      <c r="Q125" s="66" t="s">
        <v>111</v>
      </c>
      <c r="R125" s="66" t="s">
        <v>110</v>
      </c>
      <c r="S125" s="66" t="s">
        <v>93</v>
      </c>
      <c r="T125" s="90" t="s">
        <v>121</v>
      </c>
    </row>
    <row r="126" spans="1:20" x14ac:dyDescent="0.2">
      <c r="B126" s="4" t="s">
        <v>199</v>
      </c>
      <c r="D126" s="14">
        <f>IF(S126&gt;P132,S126,P132)</f>
        <v>0</v>
      </c>
      <c r="F126" s="6" t="s">
        <v>219</v>
      </c>
      <c r="G126" s="7">
        <f>E$82-E$110</f>
        <v>0</v>
      </c>
      <c r="K126" s="8">
        <v>0.1</v>
      </c>
      <c r="M126" s="9">
        <v>0.5</v>
      </c>
      <c r="N126" s="67">
        <f>(G126*K126*M126)</f>
        <v>0</v>
      </c>
      <c r="O126" s="32">
        <f>Q127</f>
        <v>0</v>
      </c>
      <c r="P126" s="32">
        <f t="shared" ref="P126:P127" si="11">N126</f>
        <v>0</v>
      </c>
      <c r="Q126" s="32">
        <f t="shared" ref="Q126:Q127" si="12">O126-P126</f>
        <v>0</v>
      </c>
      <c r="R126" s="32">
        <f t="shared" ref="R126:R127" si="13">IF(O126&lt;P126,P126,O126)</f>
        <v>0</v>
      </c>
      <c r="S126" s="32">
        <f t="shared" ref="S126:S127" si="14">IF(R126&lt;0,R126,0)</f>
        <v>0</v>
      </c>
      <c r="T126" s="91">
        <f>E$82-E$110</f>
        <v>0</v>
      </c>
    </row>
    <row r="127" spans="1:20" x14ac:dyDescent="0.2">
      <c r="B127" s="4" t="s">
        <v>200</v>
      </c>
      <c r="D127" s="14">
        <f>IF(S127&gt;P133,S127,P133)</f>
        <v>0</v>
      </c>
      <c r="F127" s="6" t="s">
        <v>220</v>
      </c>
      <c r="G127" s="7">
        <f t="shared" ref="G127:G139" si="15">E$82-E$110</f>
        <v>0</v>
      </c>
      <c r="K127" s="8">
        <v>0.2</v>
      </c>
      <c r="M127" s="9">
        <v>0.5</v>
      </c>
      <c r="N127" s="67">
        <f>(G127*K127*M127)</f>
        <v>0</v>
      </c>
      <c r="O127" s="32">
        <f>Q128</f>
        <v>0</v>
      </c>
      <c r="P127" s="32">
        <f t="shared" si="11"/>
        <v>0</v>
      </c>
      <c r="Q127" s="32">
        <f t="shared" si="12"/>
        <v>0</v>
      </c>
      <c r="R127" s="32">
        <f t="shared" si="13"/>
        <v>0</v>
      </c>
      <c r="S127" s="32">
        <f t="shared" si="14"/>
        <v>0</v>
      </c>
      <c r="T127" s="91">
        <f t="shared" ref="T127:T128" si="16">E$82-E$110</f>
        <v>0</v>
      </c>
    </row>
    <row r="128" spans="1:20" x14ac:dyDescent="0.2">
      <c r="B128" s="4" t="s">
        <v>201</v>
      </c>
      <c r="D128" s="64">
        <f>IF(S128&gt;P134,S128,P134)</f>
        <v>0</v>
      </c>
      <c r="F128" s="6" t="s">
        <v>221</v>
      </c>
      <c r="G128" s="7">
        <f t="shared" si="15"/>
        <v>0</v>
      </c>
      <c r="K128" s="8">
        <v>0.7</v>
      </c>
      <c r="M128" s="9">
        <v>0.5</v>
      </c>
      <c r="N128" s="67">
        <f>(G128*K128*M128)</f>
        <v>0</v>
      </c>
      <c r="O128" s="32">
        <f>T128</f>
        <v>0</v>
      </c>
      <c r="P128" s="32">
        <f>N128</f>
        <v>0</v>
      </c>
      <c r="Q128" s="32">
        <f>O128-P128</f>
        <v>0</v>
      </c>
      <c r="R128" s="32">
        <f>IF(O128&lt;P128,P128,O128)</f>
        <v>0</v>
      </c>
      <c r="S128" s="32">
        <f>IF(R128&lt;0,R128,0)</f>
        <v>0</v>
      </c>
      <c r="T128" s="91">
        <f t="shared" si="16"/>
        <v>0</v>
      </c>
    </row>
    <row r="129" spans="1:20" ht="13.5" thickBot="1" x14ac:dyDescent="0.25">
      <c r="C129" s="5" t="s">
        <v>119</v>
      </c>
      <c r="E129" s="21">
        <f>SUM(D126:D128)</f>
        <v>0</v>
      </c>
      <c r="F129" s="6" t="s">
        <v>204</v>
      </c>
      <c r="G129" s="7">
        <f t="shared" si="15"/>
        <v>0</v>
      </c>
      <c r="N129" s="75">
        <f>SUM(N126:N128)</f>
        <v>0</v>
      </c>
      <c r="O129" s="76"/>
      <c r="P129" s="76"/>
      <c r="Q129" s="76"/>
      <c r="R129" s="76"/>
      <c r="S129" s="76"/>
      <c r="T129" s="81"/>
    </row>
    <row r="130" spans="1:20" ht="13.5" thickBot="1" x14ac:dyDescent="0.25">
      <c r="N130" s="15"/>
      <c r="O130" s="15"/>
      <c r="P130" s="15"/>
      <c r="Q130" s="15"/>
      <c r="R130" s="15"/>
      <c r="S130" s="15"/>
    </row>
    <row r="131" spans="1:20" x14ac:dyDescent="0.2">
      <c r="N131" s="65" t="s">
        <v>108</v>
      </c>
      <c r="O131" s="66" t="s">
        <v>222</v>
      </c>
      <c r="P131" s="176" t="s">
        <v>223</v>
      </c>
      <c r="Q131" s="15"/>
      <c r="R131" s="15"/>
      <c r="S131" s="15"/>
    </row>
    <row r="132" spans="1:20" x14ac:dyDescent="0.2">
      <c r="F132" s="6" t="s">
        <v>210</v>
      </c>
      <c r="G132" s="7">
        <f>-E28*0.8</f>
        <v>-508000</v>
      </c>
      <c r="I132" s="9">
        <f>G9</f>
        <v>0.5</v>
      </c>
      <c r="M132" s="9">
        <v>1</v>
      </c>
      <c r="N132" s="67">
        <f>(G132*I132*M132)</f>
        <v>-254000</v>
      </c>
      <c r="O132" s="177">
        <f>D105</f>
        <v>0</v>
      </c>
      <c r="P132" s="178">
        <f>N132-O132</f>
        <v>-254000</v>
      </c>
      <c r="Q132" s="15"/>
      <c r="R132" s="15"/>
      <c r="S132" s="15"/>
    </row>
    <row r="133" spans="1:20" x14ac:dyDescent="0.2">
      <c r="F133" s="6" t="s">
        <v>211</v>
      </c>
      <c r="G133" s="7">
        <f>-E28*0.1</f>
        <v>-63500</v>
      </c>
      <c r="I133" s="9">
        <f>H9</f>
        <v>0.5</v>
      </c>
      <c r="M133" s="9">
        <v>1</v>
      </c>
      <c r="N133" s="67">
        <f t="shared" ref="N133:N134" si="17">(G133*I133*M133)</f>
        <v>-31750</v>
      </c>
      <c r="O133" s="177">
        <f>D106</f>
        <v>0</v>
      </c>
      <c r="P133" s="178">
        <f t="shared" ref="P133:P134" si="18">N133-O133</f>
        <v>-31750</v>
      </c>
      <c r="Q133" s="15"/>
      <c r="R133" s="15"/>
      <c r="S133" s="15"/>
    </row>
    <row r="134" spans="1:20" x14ac:dyDescent="0.2">
      <c r="F134" s="6" t="s">
        <v>212</v>
      </c>
      <c r="G134" s="7">
        <f>-E28*0.1</f>
        <v>-63500</v>
      </c>
      <c r="I134" s="9">
        <f>I9</f>
        <v>0.5</v>
      </c>
      <c r="M134" s="9">
        <v>1</v>
      </c>
      <c r="N134" s="67">
        <f t="shared" si="17"/>
        <v>-31750</v>
      </c>
      <c r="O134" s="177">
        <f>D107</f>
        <v>0</v>
      </c>
      <c r="P134" s="178">
        <f t="shared" si="18"/>
        <v>-31750</v>
      </c>
      <c r="Q134" s="15"/>
      <c r="R134" s="15"/>
      <c r="S134" s="15"/>
    </row>
    <row r="135" spans="1:20" ht="13.5" thickBot="1" x14ac:dyDescent="0.25">
      <c r="M135" s="9"/>
      <c r="N135" s="75">
        <f>SUM(N132:N134)</f>
        <v>-317500</v>
      </c>
      <c r="O135" s="179"/>
      <c r="P135" s="180"/>
      <c r="Q135" s="15"/>
      <c r="R135" s="15"/>
      <c r="S135" s="15"/>
    </row>
    <row r="136" spans="1:20" x14ac:dyDescent="0.2">
      <c r="M136" s="9"/>
      <c r="O136" s="177"/>
      <c r="P136" s="17"/>
      <c r="Q136" s="15"/>
      <c r="R136" s="15"/>
      <c r="S136" s="15"/>
    </row>
    <row r="137" spans="1:20" x14ac:dyDescent="0.2">
      <c r="B137" s="4" t="s">
        <v>132</v>
      </c>
      <c r="D137" s="14">
        <f>G137*I137*K137</f>
        <v>0</v>
      </c>
      <c r="F137" s="6" t="s">
        <v>205</v>
      </c>
      <c r="G137" s="7">
        <f t="shared" si="15"/>
        <v>0</v>
      </c>
      <c r="K137" s="8">
        <v>0.33329999999999999</v>
      </c>
      <c r="M137" s="9">
        <v>0</v>
      </c>
      <c r="N137" s="15"/>
      <c r="O137" s="15"/>
      <c r="P137" s="15"/>
      <c r="Q137" s="15"/>
      <c r="R137" s="15"/>
      <c r="S137" s="15"/>
    </row>
    <row r="138" spans="1:20" x14ac:dyDescent="0.2">
      <c r="B138" s="4" t="s">
        <v>132</v>
      </c>
      <c r="D138" s="14">
        <f>G138*I138*K138</f>
        <v>0</v>
      </c>
      <c r="F138" s="6" t="s">
        <v>206</v>
      </c>
      <c r="G138" s="7">
        <f t="shared" si="15"/>
        <v>0</v>
      </c>
      <c r="K138" s="8">
        <v>0.33329999999999999</v>
      </c>
      <c r="M138" s="9">
        <v>0</v>
      </c>
      <c r="N138" s="15"/>
      <c r="O138" s="15"/>
      <c r="P138" s="15"/>
      <c r="Q138" s="15"/>
      <c r="R138" s="15"/>
      <c r="S138" s="15"/>
    </row>
    <row r="139" spans="1:20" x14ac:dyDescent="0.2">
      <c r="B139" s="4" t="s">
        <v>132</v>
      </c>
      <c r="D139" s="64">
        <f>G139*I139*K139</f>
        <v>0</v>
      </c>
      <c r="F139" s="6" t="s">
        <v>207</v>
      </c>
      <c r="G139" s="7">
        <f t="shared" si="15"/>
        <v>0</v>
      </c>
      <c r="K139" s="8">
        <v>0.33329999999999999</v>
      </c>
      <c r="M139" s="9">
        <v>0</v>
      </c>
      <c r="N139" s="15"/>
      <c r="O139" s="15"/>
      <c r="P139" s="15"/>
      <c r="Q139" s="15"/>
      <c r="R139" s="15"/>
      <c r="S139" s="15"/>
    </row>
    <row r="140" spans="1:20" x14ac:dyDescent="0.2">
      <c r="C140" s="5" t="s">
        <v>119</v>
      </c>
      <c r="E140" s="21">
        <f>SUM(D137:D139)</f>
        <v>0</v>
      </c>
      <c r="F140" s="6" t="s">
        <v>208</v>
      </c>
      <c r="N140" s="15"/>
      <c r="O140" s="15"/>
      <c r="P140" s="15"/>
      <c r="Q140" s="15"/>
      <c r="R140" s="15"/>
      <c r="S140" s="15"/>
    </row>
    <row r="142" spans="1:20" ht="13.5" thickBot="1" x14ac:dyDescent="0.25">
      <c r="C142" s="5" t="s">
        <v>120</v>
      </c>
      <c r="E142" s="182">
        <f>E129+E140</f>
        <v>0</v>
      </c>
    </row>
    <row r="143" spans="1:20" ht="14.25" thickTop="1" thickBot="1" x14ac:dyDescent="0.25"/>
    <row r="144" spans="1:20" ht="34.5" x14ac:dyDescent="0.25">
      <c r="A144" s="3" t="s">
        <v>241</v>
      </c>
      <c r="N144" s="65" t="s">
        <v>108</v>
      </c>
      <c r="O144" s="66" t="s">
        <v>94</v>
      </c>
      <c r="P144" s="66" t="s">
        <v>108</v>
      </c>
      <c r="Q144" s="66" t="s">
        <v>111</v>
      </c>
      <c r="R144" s="66" t="s">
        <v>110</v>
      </c>
      <c r="S144" s="66" t="s">
        <v>93</v>
      </c>
      <c r="T144" s="90" t="s">
        <v>122</v>
      </c>
    </row>
    <row r="145" spans="1:20" x14ac:dyDescent="0.2">
      <c r="B145" s="4" t="s">
        <v>199</v>
      </c>
      <c r="D145" s="14">
        <f t="shared" ref="D145:D146" si="19">S145</f>
        <v>0</v>
      </c>
      <c r="F145" s="6" t="s">
        <v>210</v>
      </c>
      <c r="G145" s="7">
        <f>-E28*0.8</f>
        <v>-508000</v>
      </c>
      <c r="I145" s="9">
        <f>G9</f>
        <v>0.5</v>
      </c>
      <c r="M145" s="9">
        <v>1</v>
      </c>
      <c r="N145" s="67">
        <f>(G145*I145*M145)-D105-D126</f>
        <v>-254000</v>
      </c>
      <c r="O145" s="32">
        <f>Q146</f>
        <v>63500</v>
      </c>
      <c r="P145" s="32">
        <f t="shared" ref="P145:P146" si="20">N145</f>
        <v>-254000</v>
      </c>
      <c r="Q145" s="32">
        <f t="shared" ref="Q145:Q146" si="21">O145-P145</f>
        <v>317500</v>
      </c>
      <c r="R145" s="32">
        <f t="shared" ref="R145:R146" si="22">IF(O145&lt;P145,P145,O145)</f>
        <v>63500</v>
      </c>
      <c r="S145" s="32">
        <f t="shared" ref="S145:S146" si="23">IF(R145&lt;0,R145,0)</f>
        <v>0</v>
      </c>
      <c r="T145" s="91">
        <f>E$82-E$110-E$142</f>
        <v>0</v>
      </c>
    </row>
    <row r="146" spans="1:20" x14ac:dyDescent="0.2">
      <c r="B146" s="4" t="s">
        <v>200</v>
      </c>
      <c r="D146" s="14">
        <f t="shared" si="19"/>
        <v>0</v>
      </c>
      <c r="F146" s="6" t="s">
        <v>211</v>
      </c>
      <c r="G146" s="7">
        <f>-E28*0.1</f>
        <v>-63500</v>
      </c>
      <c r="I146" s="9">
        <f>H9</f>
        <v>0.5</v>
      </c>
      <c r="M146" s="9">
        <v>1</v>
      </c>
      <c r="N146" s="67">
        <f>(G146*I146*M146)-D106-D127</f>
        <v>-31750</v>
      </c>
      <c r="O146" s="32">
        <f>Q147</f>
        <v>31750</v>
      </c>
      <c r="P146" s="32">
        <f t="shared" si="20"/>
        <v>-31750</v>
      </c>
      <c r="Q146" s="32">
        <f t="shared" si="21"/>
        <v>63500</v>
      </c>
      <c r="R146" s="32">
        <f t="shared" si="22"/>
        <v>31750</v>
      </c>
      <c r="S146" s="32">
        <f t="shared" si="23"/>
        <v>0</v>
      </c>
      <c r="T146" s="91">
        <f t="shared" ref="T146:T147" si="24">E$82-E$110-E$142</f>
        <v>0</v>
      </c>
    </row>
    <row r="147" spans="1:20" x14ac:dyDescent="0.2">
      <c r="B147" s="4" t="s">
        <v>201</v>
      </c>
      <c r="D147" s="64">
        <f>S147</f>
        <v>0</v>
      </c>
      <c r="F147" s="6" t="s">
        <v>212</v>
      </c>
      <c r="G147" s="7">
        <f>-E28*0.1</f>
        <v>-63500</v>
      </c>
      <c r="I147" s="9">
        <f>I9</f>
        <v>0.5</v>
      </c>
      <c r="M147" s="9">
        <v>1</v>
      </c>
      <c r="N147" s="67">
        <f>(G147*I147*M147)-D107-D128</f>
        <v>-31750</v>
      </c>
      <c r="O147" s="32">
        <f>T147</f>
        <v>0</v>
      </c>
      <c r="P147" s="32">
        <f>N147</f>
        <v>-31750</v>
      </c>
      <c r="Q147" s="32">
        <f>O147-P147</f>
        <v>31750</v>
      </c>
      <c r="R147" s="32">
        <f>IF(O147&lt;P147,P147,O147)</f>
        <v>0</v>
      </c>
      <c r="S147" s="32">
        <f>IF(R147&lt;0,R147,0)</f>
        <v>0</v>
      </c>
      <c r="T147" s="91">
        <f t="shared" si="24"/>
        <v>0</v>
      </c>
    </row>
    <row r="148" spans="1:20" ht="13.5" thickBot="1" x14ac:dyDescent="0.25">
      <c r="C148" s="5" t="s">
        <v>217</v>
      </c>
      <c r="E148" s="21">
        <f>SUM(D145:D147)</f>
        <v>0</v>
      </c>
      <c r="F148" s="6" t="s">
        <v>213</v>
      </c>
      <c r="N148" s="75">
        <f>SUM(N145:N147)</f>
        <v>-317500</v>
      </c>
      <c r="O148" s="76"/>
      <c r="P148" s="76"/>
      <c r="Q148" s="76"/>
      <c r="R148" s="76"/>
      <c r="S148" s="76"/>
      <c r="T148" s="81"/>
    </row>
    <row r="149" spans="1:20" x14ac:dyDescent="0.2">
      <c r="N149" s="15"/>
      <c r="O149" s="15"/>
      <c r="P149" s="15"/>
      <c r="Q149" s="15"/>
      <c r="R149" s="15"/>
      <c r="S149" s="15"/>
    </row>
    <row r="150" spans="1:20" x14ac:dyDescent="0.2">
      <c r="B150" s="4" t="s">
        <v>132</v>
      </c>
      <c r="D150" s="14">
        <f>G150*I150*K150</f>
        <v>0</v>
      </c>
      <c r="F150" s="6" t="s">
        <v>113</v>
      </c>
      <c r="G150" s="7">
        <f>IF(E$97&gt;0,E$97,0)</f>
        <v>8639.5833333333321</v>
      </c>
      <c r="I150" s="9">
        <v>0</v>
      </c>
      <c r="M150" s="9">
        <v>0</v>
      </c>
      <c r="N150" s="15"/>
      <c r="O150" s="15"/>
      <c r="P150" s="15"/>
      <c r="Q150" s="15"/>
      <c r="R150" s="15"/>
      <c r="S150" s="15"/>
    </row>
    <row r="151" spans="1:20" x14ac:dyDescent="0.2">
      <c r="B151" s="4" t="s">
        <v>132</v>
      </c>
      <c r="D151" s="14">
        <f>G151*I151*K151</f>
        <v>0</v>
      </c>
      <c r="F151" s="6" t="s">
        <v>114</v>
      </c>
      <c r="G151" s="7">
        <f>IF(E$97&gt;0,E$97,0)</f>
        <v>8639.5833333333321</v>
      </c>
      <c r="I151" s="9">
        <v>0</v>
      </c>
      <c r="M151" s="9">
        <v>0</v>
      </c>
      <c r="N151" s="15"/>
      <c r="O151" s="15"/>
      <c r="P151" s="15"/>
      <c r="Q151" s="15"/>
      <c r="R151" s="15"/>
      <c r="S151" s="15"/>
    </row>
    <row r="152" spans="1:20" x14ac:dyDescent="0.2">
      <c r="B152" s="4" t="s">
        <v>132</v>
      </c>
      <c r="D152" s="64">
        <f>G152*I152*K152</f>
        <v>0</v>
      </c>
      <c r="F152" s="6" t="s">
        <v>115</v>
      </c>
      <c r="G152" s="7">
        <f>IF(E$97&gt;0,E$97,0)</f>
        <v>8639.5833333333321</v>
      </c>
      <c r="I152" s="9">
        <v>0</v>
      </c>
      <c r="M152" s="9">
        <v>0</v>
      </c>
      <c r="N152" s="15"/>
      <c r="O152" s="15"/>
      <c r="P152" s="15"/>
      <c r="Q152" s="15"/>
      <c r="R152" s="15"/>
      <c r="S152" s="15"/>
    </row>
    <row r="153" spans="1:20" x14ac:dyDescent="0.2">
      <c r="C153" s="5" t="s">
        <v>217</v>
      </c>
      <c r="E153" s="21">
        <f>SUM(D150:D152)</f>
        <v>0</v>
      </c>
      <c r="F153" s="6" t="s">
        <v>209</v>
      </c>
      <c r="N153" s="15"/>
      <c r="O153" s="15"/>
      <c r="P153" s="15"/>
      <c r="Q153" s="15"/>
      <c r="R153" s="15"/>
      <c r="S153" s="15"/>
    </row>
    <row r="155" spans="1:20" ht="13.5" thickBot="1" x14ac:dyDescent="0.25">
      <c r="C155" s="5" t="s">
        <v>218</v>
      </c>
      <c r="E155" s="182">
        <f>E148+E153</f>
        <v>0</v>
      </c>
    </row>
    <row r="156" spans="1:20" ht="13.5" thickTop="1" x14ac:dyDescent="0.2"/>
    <row r="157" spans="1:20" x14ac:dyDescent="0.2">
      <c r="A157" s="194" t="s">
        <v>245</v>
      </c>
    </row>
  </sheetData>
  <sheetProtection algorithmName="SHA-512" hashValue="wcO/LYnZUhYl3TofUZXBCH0qkBSnw8i/tlQuUxnwQb+gksxe9SM5AAzWbzYHDXP9LE3QoX6YwUSuVxxrjLXnPQ==" saltValue="QpHO6TWxvyh79qMj3qX2cw==" spinCount="100000" sheet="1" objects="1" scenarios="1"/>
  <protectedRanges>
    <protectedRange algorithmName="SHA-512" hashValue="TYPqt6f1CP2WMAn4Wplg2oSWHX6Asn2Pj6O6bLHqIIiIIlh6IhR5znH3czRSZS82lcs67VTq2MaJYB+E+wOJjg==" saltValue="MmjhGeZV+DS9URng/a876w==" spinCount="100000" sqref="G8:I11" name="Range2"/>
    <protectedRange algorithmName="SHA-512" hashValue="imaTq4nO6Ti/4uQfsh6Z1cfZ0nzPJRL+HXRIbj1dOQGc9qrRnDRGzx3ipr3rJj0mwHqwW7TeqRra/skacAraYw==" saltValue="ouWMgUJza6JNyDoKDqm/qg==" spinCount="100000" sqref="G4:G6" name="Range1"/>
  </protectedRanges>
  <pageMargins left="0.7" right="0.7" top="0.75" bottom="0.75" header="0.3" footer="0.3"/>
  <pageSetup scale="54" orientation="portrait" r:id="rId1"/>
  <rowBreaks count="1" manualBreakCount="1">
    <brk id="83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1CA4-97C7-45A5-9CA9-90F41D61A6E4}">
  <sheetPr>
    <pageSetUpPr fitToPage="1"/>
  </sheetPr>
  <dimension ref="A1:J52"/>
  <sheetViews>
    <sheetView zoomScaleNormal="100" workbookViewId="0"/>
  </sheetViews>
  <sheetFormatPr defaultRowHeight="12.75" customHeight="1" x14ac:dyDescent="0.2"/>
  <cols>
    <col min="1" max="1" width="15.28515625" bestFit="1" customWidth="1"/>
    <col min="2" max="2" width="20.7109375" customWidth="1"/>
    <col min="3" max="3" width="9.5703125" customWidth="1"/>
    <col min="4" max="10" width="9.7109375" customWidth="1"/>
  </cols>
  <sheetData>
    <row r="1" spans="1:10" ht="12.75" customHeight="1" x14ac:dyDescent="0.25">
      <c r="A1" s="199" t="s">
        <v>246</v>
      </c>
    </row>
    <row r="2" spans="1:10" ht="12.75" customHeight="1" x14ac:dyDescent="0.2">
      <c r="A2" s="92" t="s">
        <v>138</v>
      </c>
    </row>
    <row r="3" spans="1:10" ht="12.75" customHeight="1" x14ac:dyDescent="0.2">
      <c r="B3" s="92"/>
    </row>
    <row r="4" spans="1:10" ht="12.75" customHeight="1" x14ac:dyDescent="0.2">
      <c r="A4" s="208" t="s">
        <v>123</v>
      </c>
      <c r="B4" s="93" t="s">
        <v>124</v>
      </c>
      <c r="C4" s="111">
        <f>Calculator!D15</f>
        <v>750000</v>
      </c>
    </row>
    <row r="5" spans="1:10" ht="12.75" customHeight="1" x14ac:dyDescent="0.2">
      <c r="A5" s="209"/>
      <c r="B5" s="94" t="s">
        <v>125</v>
      </c>
      <c r="C5" s="117">
        <f>Calculator!E28</f>
        <v>635000</v>
      </c>
    </row>
    <row r="6" spans="1:10" ht="12.75" customHeight="1" x14ac:dyDescent="0.2">
      <c r="A6" s="209"/>
      <c r="B6" s="94" t="s">
        <v>126</v>
      </c>
      <c r="C6" s="112">
        <f>Calculator!E30</f>
        <v>115000</v>
      </c>
    </row>
    <row r="7" spans="1:10" ht="12.75" customHeight="1" x14ac:dyDescent="0.2">
      <c r="A7" s="209"/>
      <c r="B7" s="94" t="s">
        <v>13</v>
      </c>
      <c r="C7" s="117">
        <f>Calculator!E71</f>
        <v>78050</v>
      </c>
    </row>
    <row r="8" spans="1:10" ht="12.75" customHeight="1" x14ac:dyDescent="0.2">
      <c r="A8" s="209"/>
      <c r="B8" s="94" t="s">
        <v>98</v>
      </c>
      <c r="C8" s="112">
        <f>Calculator!E73</f>
        <v>36950</v>
      </c>
    </row>
    <row r="9" spans="1:10" ht="12.75" customHeight="1" x14ac:dyDescent="0.25">
      <c r="A9" s="210"/>
      <c r="B9" s="95" t="s">
        <v>40</v>
      </c>
      <c r="C9" s="195">
        <f>C8</f>
        <v>36950</v>
      </c>
    </row>
    <row r="11" spans="1:10" ht="12.75" customHeight="1" x14ac:dyDescent="0.2">
      <c r="A11" s="100" t="s">
        <v>239</v>
      </c>
      <c r="B11" s="100" t="s">
        <v>238</v>
      </c>
      <c r="C11" s="104" t="s">
        <v>139</v>
      </c>
      <c r="D11" s="100"/>
      <c r="E11" s="100"/>
      <c r="F11" s="100"/>
      <c r="G11" s="100"/>
      <c r="H11" s="100"/>
      <c r="I11" s="100"/>
      <c r="J11" s="100"/>
    </row>
    <row r="12" spans="1:10" ht="12.75" customHeight="1" x14ac:dyDescent="0.25">
      <c r="A12" s="208" t="s">
        <v>127</v>
      </c>
      <c r="B12" s="102"/>
      <c r="C12" s="114"/>
      <c r="J12" s="96"/>
    </row>
    <row r="13" spans="1:10" ht="12.75" customHeight="1" x14ac:dyDescent="0.25">
      <c r="A13" s="209"/>
      <c r="B13" s="103" t="s">
        <v>128</v>
      </c>
      <c r="C13" s="113">
        <v>0.09</v>
      </c>
      <c r="D13" s="196">
        <f>Calculator!D85</f>
        <v>9525</v>
      </c>
      <c r="J13" s="97"/>
    </row>
    <row r="14" spans="1:10" ht="12.75" customHeight="1" x14ac:dyDescent="0.2">
      <c r="A14" s="209"/>
      <c r="B14" s="103"/>
      <c r="C14" s="115"/>
      <c r="J14" s="97"/>
    </row>
    <row r="15" spans="1:10" ht="12.75" customHeight="1" x14ac:dyDescent="0.2">
      <c r="A15" s="209"/>
      <c r="B15" s="103"/>
      <c r="C15" s="115"/>
      <c r="J15" s="97"/>
    </row>
    <row r="16" spans="1:10" ht="12.75" customHeight="1" x14ac:dyDescent="0.2">
      <c r="A16" s="209"/>
      <c r="B16" s="103"/>
      <c r="C16" s="115"/>
      <c r="J16" s="97"/>
    </row>
    <row r="17" spans="1:10" ht="12.75" customHeight="1" x14ac:dyDescent="0.25">
      <c r="A17" s="209"/>
      <c r="B17" s="103" t="s">
        <v>129</v>
      </c>
      <c r="C17" s="113">
        <v>0.12</v>
      </c>
      <c r="E17" s="196">
        <f>Calculator!D86</f>
        <v>1587.5</v>
      </c>
      <c r="J17" s="97"/>
    </row>
    <row r="18" spans="1:10" ht="12.75" customHeight="1" x14ac:dyDescent="0.2">
      <c r="A18" s="209"/>
      <c r="B18" s="103"/>
      <c r="C18" s="115"/>
      <c r="E18" s="99"/>
      <c r="J18" s="97"/>
    </row>
    <row r="19" spans="1:10" ht="12.75" customHeight="1" x14ac:dyDescent="0.2">
      <c r="A19" s="209"/>
      <c r="B19" s="103"/>
      <c r="C19" s="115"/>
      <c r="J19" s="97"/>
    </row>
    <row r="20" spans="1:10" ht="12.75" customHeight="1" x14ac:dyDescent="0.2">
      <c r="A20" s="209"/>
      <c r="B20" s="103"/>
      <c r="C20" s="115"/>
      <c r="J20" s="97"/>
    </row>
    <row r="21" spans="1:10" ht="12.75" customHeight="1" x14ac:dyDescent="0.25">
      <c r="A21" s="209"/>
      <c r="B21" s="103" t="s">
        <v>130</v>
      </c>
      <c r="C21" s="113">
        <v>0.15</v>
      </c>
      <c r="F21" s="196">
        <f>Calculator!D87</f>
        <v>1984.375</v>
      </c>
      <c r="J21" s="97"/>
    </row>
    <row r="22" spans="1:10" ht="12.75" customHeight="1" x14ac:dyDescent="0.2">
      <c r="A22" s="209"/>
      <c r="B22" s="103"/>
      <c r="C22" s="115"/>
      <c r="J22" s="97"/>
    </row>
    <row r="23" spans="1:10" ht="12.75" customHeight="1" x14ac:dyDescent="0.2">
      <c r="A23" s="210"/>
      <c r="B23" s="104"/>
      <c r="C23" s="116"/>
      <c r="D23" s="100"/>
      <c r="E23" s="100"/>
      <c r="F23" s="100"/>
      <c r="G23" s="100"/>
      <c r="H23" s="100"/>
      <c r="I23" s="100"/>
      <c r="J23" s="98"/>
    </row>
    <row r="24" spans="1:10" ht="12.75" customHeight="1" x14ac:dyDescent="0.2">
      <c r="A24" s="211" t="s">
        <v>131</v>
      </c>
      <c r="C24" s="115"/>
      <c r="J24" s="97"/>
    </row>
    <row r="25" spans="1:10" ht="12.75" customHeight="1" x14ac:dyDescent="0.25">
      <c r="A25" s="212"/>
      <c r="B25" s="103" t="s">
        <v>128</v>
      </c>
      <c r="C25" s="113">
        <v>0.1</v>
      </c>
      <c r="G25" s="196">
        <f>Calculator!D90</f>
        <v>10583.333333333334</v>
      </c>
      <c r="J25" s="97"/>
    </row>
    <row r="26" spans="1:10" ht="12.75" customHeight="1" x14ac:dyDescent="0.2">
      <c r="A26" s="212"/>
      <c r="B26" s="103"/>
      <c r="C26" s="115"/>
      <c r="J26" s="97"/>
    </row>
    <row r="27" spans="1:10" ht="12.75" customHeight="1" x14ac:dyDescent="0.2">
      <c r="A27" s="212"/>
      <c r="B27" s="103"/>
      <c r="C27" s="115"/>
      <c r="J27" s="97"/>
    </row>
    <row r="28" spans="1:10" ht="12.75" customHeight="1" x14ac:dyDescent="0.2">
      <c r="A28" s="212"/>
      <c r="B28" s="103"/>
      <c r="C28" s="115"/>
      <c r="J28" s="97"/>
    </row>
    <row r="29" spans="1:10" ht="12.75" customHeight="1" x14ac:dyDescent="0.25">
      <c r="A29" s="212"/>
      <c r="B29" s="103" t="s">
        <v>129</v>
      </c>
      <c r="C29" s="113">
        <v>0.15</v>
      </c>
      <c r="H29" s="196">
        <f>Calculator!D91</f>
        <v>1984.375</v>
      </c>
      <c r="J29" s="97"/>
    </row>
    <row r="30" spans="1:10" ht="12.75" customHeight="1" x14ac:dyDescent="0.2">
      <c r="A30" s="212"/>
      <c r="B30" s="103"/>
      <c r="C30" s="115"/>
      <c r="J30" s="97"/>
    </row>
    <row r="31" spans="1:10" ht="12.75" customHeight="1" x14ac:dyDescent="0.2">
      <c r="A31" s="212"/>
      <c r="B31" s="103"/>
      <c r="C31" s="115"/>
      <c r="J31" s="97"/>
    </row>
    <row r="32" spans="1:10" ht="12.75" customHeight="1" x14ac:dyDescent="0.2">
      <c r="A32" s="212"/>
      <c r="B32" s="103"/>
      <c r="C32" s="115"/>
      <c r="J32" s="97"/>
    </row>
    <row r="33" spans="1:10" ht="12.75" customHeight="1" x14ac:dyDescent="0.25">
      <c r="A33" s="212"/>
      <c r="B33" s="103" t="s">
        <v>130</v>
      </c>
      <c r="C33" s="113">
        <v>0.2</v>
      </c>
      <c r="I33" s="196">
        <f>Calculator!D92</f>
        <v>2645.8333333333335</v>
      </c>
      <c r="J33" s="97"/>
    </row>
    <row r="34" spans="1:10" ht="12.75" customHeight="1" x14ac:dyDescent="0.2">
      <c r="A34" s="212"/>
      <c r="B34" s="103"/>
      <c r="C34" s="115"/>
      <c r="J34" s="97"/>
    </row>
    <row r="35" spans="1:10" ht="12.75" customHeight="1" x14ac:dyDescent="0.2">
      <c r="A35" s="213"/>
      <c r="B35" s="104"/>
      <c r="C35" s="116"/>
      <c r="D35" s="100"/>
      <c r="E35" s="100"/>
      <c r="F35" s="100"/>
      <c r="G35" s="100"/>
      <c r="H35" s="100"/>
      <c r="I35" s="100"/>
      <c r="J35" s="98"/>
    </row>
    <row r="36" spans="1:10" ht="12.75" customHeight="1" x14ac:dyDescent="0.2">
      <c r="A36" s="211" t="s">
        <v>137</v>
      </c>
      <c r="B36" s="109"/>
      <c r="C36" s="110"/>
      <c r="D36" s="110"/>
      <c r="E36" s="110"/>
      <c r="F36" s="110"/>
      <c r="G36" s="110"/>
      <c r="H36" s="110"/>
      <c r="I36" s="110"/>
      <c r="J36" s="96"/>
    </row>
    <row r="37" spans="1:10" ht="12.75" customHeight="1" x14ac:dyDescent="0.2">
      <c r="A37" s="212"/>
      <c r="B37" s="103"/>
      <c r="C37" s="101"/>
      <c r="D37" s="101"/>
      <c r="E37" s="101"/>
      <c r="F37" s="101"/>
      <c r="G37" s="101"/>
      <c r="H37" s="101"/>
      <c r="I37" s="101"/>
      <c r="J37" s="97"/>
    </row>
    <row r="38" spans="1:10" ht="12.75" customHeight="1" x14ac:dyDescent="0.2">
      <c r="A38" s="212"/>
      <c r="B38" s="101"/>
      <c r="C38" s="101"/>
      <c r="D38" s="101"/>
      <c r="E38" s="101"/>
      <c r="F38" s="101"/>
      <c r="G38" s="101"/>
      <c r="H38" s="101"/>
      <c r="I38" s="101"/>
      <c r="J38" s="97"/>
    </row>
    <row r="39" spans="1:10" ht="12.75" customHeight="1" x14ac:dyDescent="0.2">
      <c r="A39" s="212"/>
      <c r="B39" s="101"/>
      <c r="C39" s="101"/>
      <c r="D39" s="101"/>
      <c r="E39" s="101"/>
      <c r="F39" s="101"/>
      <c r="G39" s="101"/>
      <c r="H39" s="101"/>
      <c r="I39" s="101"/>
      <c r="J39" s="97"/>
    </row>
    <row r="40" spans="1:10" ht="12.75" customHeight="1" x14ac:dyDescent="0.2">
      <c r="A40" s="212"/>
      <c r="B40" s="101"/>
      <c r="C40" s="101"/>
      <c r="D40" s="101"/>
      <c r="E40" s="106"/>
      <c r="F40" s="101"/>
      <c r="G40" s="101"/>
      <c r="H40" s="101"/>
      <c r="I40" s="101"/>
      <c r="J40" s="97"/>
    </row>
    <row r="41" spans="1:10" ht="12.75" customHeight="1" x14ac:dyDescent="0.2">
      <c r="A41" s="212"/>
      <c r="B41" s="101"/>
      <c r="C41" s="101"/>
      <c r="D41" s="101"/>
      <c r="E41" s="101"/>
      <c r="F41" s="101"/>
      <c r="G41" s="101"/>
      <c r="H41" s="101"/>
      <c r="I41" s="101"/>
      <c r="J41" s="97"/>
    </row>
    <row r="42" spans="1:10" ht="12.75" customHeight="1" x14ac:dyDescent="0.2">
      <c r="A42" s="212"/>
      <c r="B42" s="101"/>
      <c r="C42" s="101"/>
      <c r="D42" s="101"/>
      <c r="E42" s="101"/>
      <c r="F42" s="101"/>
      <c r="G42" s="101"/>
      <c r="H42" s="101"/>
      <c r="I42" s="101"/>
      <c r="J42" s="97"/>
    </row>
    <row r="43" spans="1:10" ht="12.75" customHeight="1" x14ac:dyDescent="0.2">
      <c r="A43" s="212"/>
      <c r="B43" s="101"/>
      <c r="C43" s="101"/>
      <c r="D43" s="101"/>
      <c r="E43" s="101"/>
      <c r="F43" s="101"/>
      <c r="G43" s="101"/>
      <c r="H43" s="101"/>
      <c r="I43" s="101"/>
      <c r="J43" s="97"/>
    </row>
    <row r="44" spans="1:10" ht="12.75" customHeight="1" x14ac:dyDescent="0.2">
      <c r="A44" s="212"/>
      <c r="B44" s="101"/>
      <c r="C44" s="101"/>
      <c r="D44" s="101"/>
      <c r="E44" s="101"/>
      <c r="F44" s="101"/>
      <c r="G44" s="101"/>
      <c r="H44" s="101"/>
      <c r="I44" s="101"/>
      <c r="J44" s="97"/>
    </row>
    <row r="45" spans="1:10" ht="12.75" customHeight="1" x14ac:dyDescent="0.25">
      <c r="A45" s="212"/>
      <c r="B45" s="101"/>
      <c r="C45" s="197">
        <f>Calculator!D113</f>
        <v>431.97916666666663</v>
      </c>
      <c r="D45" s="106"/>
      <c r="E45" s="197">
        <f>Calculator!D114</f>
        <v>863.95833333333326</v>
      </c>
      <c r="F45" s="106"/>
      <c r="G45" s="197">
        <f>Calculator!D115</f>
        <v>3023.8541666666661</v>
      </c>
      <c r="H45" s="101"/>
      <c r="I45" s="198">
        <f>Calculator!E121</f>
        <v>4319.3596874999994</v>
      </c>
      <c r="J45" s="97"/>
    </row>
    <row r="46" spans="1:10" ht="12.75" customHeight="1" x14ac:dyDescent="0.2">
      <c r="A46" s="212"/>
      <c r="B46" s="101"/>
      <c r="C46" s="101"/>
      <c r="D46" s="101"/>
      <c r="E46" s="101"/>
      <c r="F46" s="101"/>
      <c r="G46" s="101"/>
      <c r="H46" s="101"/>
      <c r="I46" s="101"/>
      <c r="J46" s="97"/>
    </row>
    <row r="47" spans="1:10" ht="12.75" customHeight="1" x14ac:dyDescent="0.2">
      <c r="A47" s="212"/>
      <c r="B47" s="101"/>
      <c r="C47" s="214" t="s">
        <v>128</v>
      </c>
      <c r="D47" s="101"/>
      <c r="E47" s="214" t="s">
        <v>129</v>
      </c>
      <c r="F47" s="101"/>
      <c r="G47" s="214" t="s">
        <v>130</v>
      </c>
      <c r="H47" s="101"/>
      <c r="I47" s="105" t="s">
        <v>132</v>
      </c>
      <c r="J47" s="97"/>
    </row>
    <row r="48" spans="1:10" ht="12.75" customHeight="1" x14ac:dyDescent="0.2">
      <c r="A48" s="212"/>
      <c r="B48" s="101"/>
      <c r="C48" s="214"/>
      <c r="D48" s="101"/>
      <c r="E48" s="214"/>
      <c r="F48" s="101"/>
      <c r="G48" s="214"/>
      <c r="H48" s="101"/>
      <c r="I48" s="108" t="s">
        <v>136</v>
      </c>
      <c r="J48" s="97"/>
    </row>
    <row r="49" spans="1:10" ht="12.75" customHeight="1" x14ac:dyDescent="0.2">
      <c r="A49" s="213"/>
      <c r="B49" s="100"/>
      <c r="C49" s="107" t="s">
        <v>133</v>
      </c>
      <c r="D49" s="100"/>
      <c r="E49" s="107" t="s">
        <v>134</v>
      </c>
      <c r="F49" s="100"/>
      <c r="G49" s="107" t="s">
        <v>135</v>
      </c>
      <c r="H49" s="100"/>
      <c r="I49" s="100"/>
      <c r="J49" s="98"/>
    </row>
    <row r="52" spans="1:10" ht="12.75" customHeight="1" x14ac:dyDescent="0.2">
      <c r="A52" s="194" t="s">
        <v>245</v>
      </c>
    </row>
  </sheetData>
  <sheetProtection algorithmName="SHA-512" hashValue="vIM0rvym2ERC/sFudKXgY0qhWlt86USV5FoQSzlv/v/leA6zBKjzMfKxYNbjSUhkFam5ZckaaBeONCdH2HzlWw==" saltValue="jQQ/hfC50Cjzwp45TFIOJg==" spinCount="100000" sheet="1" objects="1" scenarios="1"/>
  <mergeCells count="7">
    <mergeCell ref="A4:A9"/>
    <mergeCell ref="A36:A49"/>
    <mergeCell ref="C47:C48"/>
    <mergeCell ref="E47:E48"/>
    <mergeCell ref="G47:G48"/>
    <mergeCell ref="A12:A23"/>
    <mergeCell ref="A24:A35"/>
  </mergeCells>
  <pageMargins left="0.7" right="0.7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4105-B5B3-47A6-9910-40BE17176082}">
  <sheetPr>
    <pageSetUpPr fitToPage="1"/>
  </sheetPr>
  <dimension ref="A1:Y38"/>
  <sheetViews>
    <sheetView tabSelected="1" zoomScaleNormal="100" workbookViewId="0">
      <selection sqref="A1:W1"/>
    </sheetView>
  </sheetViews>
  <sheetFormatPr defaultRowHeight="12.75" x14ac:dyDescent="0.2"/>
  <cols>
    <col min="1" max="1" width="26.85546875" style="119" customWidth="1"/>
    <col min="2" max="2" width="15.5703125" style="121" customWidth="1"/>
    <col min="3" max="3" width="2.7109375" style="121" customWidth="1"/>
    <col min="4" max="9" width="8.7109375" style="119" customWidth="1"/>
    <col min="10" max="10" width="2.7109375" style="119" customWidth="1"/>
    <col min="11" max="16" width="8.7109375" style="119" customWidth="1"/>
    <col min="17" max="17" width="2.7109375" style="119" customWidth="1"/>
    <col min="18" max="23" width="8.7109375" style="119" customWidth="1"/>
    <col min="24" max="24" width="9.140625" style="118"/>
    <col min="25" max="25" width="9.140625" style="119"/>
    <col min="26" max="16384" width="9.140625" style="118"/>
  </cols>
  <sheetData>
    <row r="1" spans="1:25" ht="26.25" x14ac:dyDescent="0.4">
      <c r="A1" s="227" t="s">
        <v>140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</row>
    <row r="2" spans="1:25" ht="20.25" x14ac:dyDescent="0.3">
      <c r="A2" s="228" t="s">
        <v>141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119"/>
    </row>
    <row r="3" spans="1:25" ht="21" thickBot="1" x14ac:dyDescent="0.35">
      <c r="A3" s="120"/>
      <c r="X3" s="119"/>
    </row>
    <row r="4" spans="1:25" s="126" customFormat="1" ht="20.25" x14ac:dyDescent="0.3">
      <c r="A4" s="122" t="s">
        <v>142</v>
      </c>
      <c r="B4" s="123"/>
      <c r="C4" s="124"/>
      <c r="D4" s="215" t="s">
        <v>128</v>
      </c>
      <c r="E4" s="216"/>
      <c r="F4" s="216"/>
      <c r="G4" s="216"/>
      <c r="H4" s="216"/>
      <c r="I4" s="217"/>
      <c r="J4" s="120"/>
      <c r="K4" s="215" t="s">
        <v>129</v>
      </c>
      <c r="L4" s="216"/>
      <c r="M4" s="216"/>
      <c r="N4" s="216"/>
      <c r="O4" s="216"/>
      <c r="P4" s="217"/>
      <c r="Q4" s="125"/>
      <c r="R4" s="215" t="s">
        <v>130</v>
      </c>
      <c r="S4" s="216"/>
      <c r="T4" s="216"/>
      <c r="U4" s="216"/>
      <c r="V4" s="216"/>
      <c r="W4" s="217"/>
      <c r="X4" s="120"/>
      <c r="Y4" s="120"/>
    </row>
    <row r="5" spans="1:25" ht="21" customHeight="1" x14ac:dyDescent="0.3">
      <c r="A5" s="127" t="s">
        <v>240</v>
      </c>
      <c r="B5" s="128"/>
      <c r="C5" s="119"/>
      <c r="D5" s="129">
        <v>0.09</v>
      </c>
      <c r="E5" s="130"/>
      <c r="F5" s="131"/>
      <c r="G5" s="132">
        <v>0.1</v>
      </c>
      <c r="H5" s="130"/>
      <c r="I5" s="133"/>
      <c r="K5" s="129">
        <v>0.12</v>
      </c>
      <c r="L5" s="130"/>
      <c r="M5" s="131"/>
      <c r="N5" s="132">
        <v>0.15</v>
      </c>
      <c r="O5" s="130"/>
      <c r="P5" s="133"/>
      <c r="Q5" s="22"/>
      <c r="R5" s="129">
        <v>0.15</v>
      </c>
      <c r="S5" s="130"/>
      <c r="T5" s="131"/>
      <c r="U5" s="132">
        <v>0.2</v>
      </c>
      <c r="V5" s="130"/>
      <c r="W5" s="133"/>
      <c r="X5" s="119"/>
    </row>
    <row r="6" spans="1:25" ht="30" customHeight="1" x14ac:dyDescent="0.2">
      <c r="A6" s="127" t="s">
        <v>143</v>
      </c>
      <c r="B6" s="134"/>
      <c r="C6" s="22"/>
      <c r="D6" s="225" t="s">
        <v>144</v>
      </c>
      <c r="E6" s="219"/>
      <c r="F6" s="226"/>
      <c r="G6" s="218" t="s">
        <v>145</v>
      </c>
      <c r="H6" s="219"/>
      <c r="I6" s="220"/>
      <c r="K6" s="225" t="s">
        <v>146</v>
      </c>
      <c r="L6" s="219"/>
      <c r="M6" s="226"/>
      <c r="N6" s="218" t="s">
        <v>147</v>
      </c>
      <c r="O6" s="219"/>
      <c r="P6" s="220"/>
      <c r="Q6" s="135"/>
      <c r="R6" s="225" t="s">
        <v>148</v>
      </c>
      <c r="S6" s="219"/>
      <c r="T6" s="226"/>
      <c r="U6" s="218" t="s">
        <v>149</v>
      </c>
      <c r="V6" s="219"/>
      <c r="W6" s="220"/>
      <c r="X6" s="119"/>
    </row>
    <row r="7" spans="1:25" s="120" customFormat="1" ht="15" customHeight="1" x14ac:dyDescent="0.3">
      <c r="A7" s="127" t="s">
        <v>150</v>
      </c>
      <c r="B7" s="136"/>
      <c r="C7" s="124"/>
      <c r="D7" s="137" t="s">
        <v>151</v>
      </c>
      <c r="E7" s="125"/>
      <c r="F7" s="138"/>
      <c r="G7" s="139" t="s">
        <v>151</v>
      </c>
      <c r="H7" s="125"/>
      <c r="I7" s="140"/>
      <c r="K7" s="137" t="s">
        <v>152</v>
      </c>
      <c r="L7" s="125"/>
      <c r="M7" s="138"/>
      <c r="N7" s="139" t="s">
        <v>152</v>
      </c>
      <c r="O7" s="125"/>
      <c r="P7" s="140"/>
      <c r="Q7" s="125"/>
      <c r="R7" s="137" t="s">
        <v>153</v>
      </c>
      <c r="S7" s="125"/>
      <c r="T7" s="138"/>
      <c r="U7" s="139" t="s">
        <v>153</v>
      </c>
      <c r="V7" s="125"/>
      <c r="W7" s="140"/>
    </row>
    <row r="8" spans="1:25" s="120" customFormat="1" ht="15" customHeight="1" x14ac:dyDescent="0.3">
      <c r="A8" s="127"/>
      <c r="B8" s="136"/>
      <c r="C8" s="124"/>
      <c r="D8" s="221" t="s">
        <v>154</v>
      </c>
      <c r="E8" s="222"/>
      <c r="F8" s="223"/>
      <c r="G8" s="222" t="s">
        <v>154</v>
      </c>
      <c r="H8" s="222"/>
      <c r="I8" s="224"/>
      <c r="K8" s="221" t="s">
        <v>154</v>
      </c>
      <c r="L8" s="222"/>
      <c r="M8" s="223"/>
      <c r="N8" s="222" t="s">
        <v>154</v>
      </c>
      <c r="O8" s="222"/>
      <c r="P8" s="224"/>
      <c r="Q8" s="125"/>
      <c r="R8" s="221" t="s">
        <v>154</v>
      </c>
      <c r="S8" s="222"/>
      <c r="T8" s="223"/>
      <c r="U8" s="222" t="s">
        <v>154</v>
      </c>
      <c r="V8" s="222"/>
      <c r="W8" s="224"/>
    </row>
    <row r="9" spans="1:25" ht="38.25" x14ac:dyDescent="0.2">
      <c r="A9" s="141" t="s">
        <v>155</v>
      </c>
      <c r="B9" s="142" t="s">
        <v>156</v>
      </c>
      <c r="C9" s="143"/>
      <c r="D9" s="144" t="s">
        <v>157</v>
      </c>
      <c r="E9" s="145" t="s">
        <v>158</v>
      </c>
      <c r="F9" s="146" t="s">
        <v>159</v>
      </c>
      <c r="G9" s="147" t="s">
        <v>157</v>
      </c>
      <c r="H9" s="145" t="s">
        <v>158</v>
      </c>
      <c r="I9" s="142" t="s">
        <v>159</v>
      </c>
      <c r="K9" s="144" t="s">
        <v>157</v>
      </c>
      <c r="L9" s="145" t="s">
        <v>158</v>
      </c>
      <c r="M9" s="146" t="s">
        <v>159</v>
      </c>
      <c r="N9" s="147" t="s">
        <v>157</v>
      </c>
      <c r="O9" s="145" t="s">
        <v>158</v>
      </c>
      <c r="P9" s="142" t="s">
        <v>159</v>
      </c>
      <c r="Q9" s="143"/>
      <c r="R9" s="144" t="s">
        <v>157</v>
      </c>
      <c r="S9" s="145" t="s">
        <v>158</v>
      </c>
      <c r="T9" s="146" t="s">
        <v>159</v>
      </c>
      <c r="U9" s="147" t="s">
        <v>157</v>
      </c>
      <c r="V9" s="145" t="s">
        <v>158</v>
      </c>
      <c r="W9" s="142" t="s">
        <v>159</v>
      </c>
      <c r="X9" s="119"/>
    </row>
    <row r="10" spans="1:25" x14ac:dyDescent="0.2">
      <c r="A10" s="127" t="s">
        <v>160</v>
      </c>
      <c r="B10" s="148">
        <v>2500</v>
      </c>
      <c r="D10" s="149">
        <f t="shared" ref="D10:D26" si="0">($B10*D$5)*(1/12)</f>
        <v>18.75</v>
      </c>
      <c r="E10" s="121">
        <f t="shared" ref="E10:E26" si="1">($B10*D$5)*(6/12)</f>
        <v>112.5</v>
      </c>
      <c r="F10" s="150">
        <f>($B10*D$5)*(12/12)</f>
        <v>225</v>
      </c>
      <c r="G10" s="121">
        <f t="shared" ref="G10:G26" si="2">($B10*G$5)*(1/12)</f>
        <v>20.833333333333332</v>
      </c>
      <c r="H10" s="121">
        <f t="shared" ref="H10:H26" si="3">($B10*G$5)*(6/12)</f>
        <v>125</v>
      </c>
      <c r="I10" s="148">
        <f t="shared" ref="I10:I26" si="4">($B10*G$5)*(12/12)</f>
        <v>250</v>
      </c>
      <c r="K10" s="151">
        <f>($B10*K$5)*(1/12)</f>
        <v>25</v>
      </c>
      <c r="L10" s="152">
        <f>($B10*K$5)*(6/12)</f>
        <v>150</v>
      </c>
      <c r="M10" s="153">
        <f>($B10*K$5)*(12/12)</f>
        <v>300</v>
      </c>
      <c r="N10" s="121">
        <f>($B10*N$5)*(1/12)</f>
        <v>31.25</v>
      </c>
      <c r="O10" s="121">
        <f>($B10*N$5)*(6/12)</f>
        <v>187.5</v>
      </c>
      <c r="P10" s="148">
        <f>($B10*N$5)*(12/12)</f>
        <v>375</v>
      </c>
      <c r="Q10" s="121"/>
      <c r="R10" s="151">
        <f>($B10*R$5)*(1/12)</f>
        <v>31.25</v>
      </c>
      <c r="S10" s="152">
        <f>($B10*R$5)*(6/12)</f>
        <v>187.5</v>
      </c>
      <c r="T10" s="153">
        <f>($B10*R$5)*(12/12)</f>
        <v>375</v>
      </c>
      <c r="U10" s="121">
        <f>($B10*U$5)*(1/12)</f>
        <v>41.666666666666664</v>
      </c>
      <c r="V10" s="121">
        <f>($B10*U$5)*(6/12)</f>
        <v>250</v>
      </c>
      <c r="W10" s="148">
        <f>($B10*U$5)*(12/12)</f>
        <v>500</v>
      </c>
      <c r="X10" s="119"/>
    </row>
    <row r="11" spans="1:25" ht="15" customHeight="1" x14ac:dyDescent="0.2">
      <c r="A11" s="127" t="s">
        <v>161</v>
      </c>
      <c r="B11" s="148">
        <v>5000</v>
      </c>
      <c r="D11" s="149">
        <f t="shared" si="0"/>
        <v>37.5</v>
      </c>
      <c r="E11" s="121">
        <f t="shared" si="1"/>
        <v>225</v>
      </c>
      <c r="F11" s="150">
        <f t="shared" ref="F11:F26" si="5">($B11*D$5)*(12/12)</f>
        <v>450</v>
      </c>
      <c r="G11" s="121">
        <f t="shared" si="2"/>
        <v>41.666666666666664</v>
      </c>
      <c r="H11" s="121">
        <f t="shared" si="3"/>
        <v>250</v>
      </c>
      <c r="I11" s="148">
        <f t="shared" si="4"/>
        <v>500</v>
      </c>
      <c r="K11" s="149">
        <f t="shared" ref="K11:K26" si="6">($B11*K$5)*(1/12)</f>
        <v>50</v>
      </c>
      <c r="L11" s="121">
        <f t="shared" ref="L11:L26" si="7">($B11*K$5)*(6/12)</f>
        <v>300</v>
      </c>
      <c r="M11" s="150">
        <f t="shared" ref="M11:M26" si="8">($B11*K$5)*(12/12)</f>
        <v>600</v>
      </c>
      <c r="N11" s="121">
        <f t="shared" ref="N11:N26" si="9">($B11*N$5)*(1/12)</f>
        <v>62.5</v>
      </c>
      <c r="O11" s="121">
        <f t="shared" ref="O11:O26" si="10">($B11*N$5)*(6/12)</f>
        <v>375</v>
      </c>
      <c r="P11" s="148">
        <f t="shared" ref="P11:P26" si="11">($B11*N$5)*(12/12)</f>
        <v>750</v>
      </c>
      <c r="Q11" s="121"/>
      <c r="R11" s="149">
        <f t="shared" ref="R11:R26" si="12">($B11*R$5)*(1/12)</f>
        <v>62.5</v>
      </c>
      <c r="S11" s="121">
        <f t="shared" ref="S11:S26" si="13">($B11*R$5)*(6/12)</f>
        <v>375</v>
      </c>
      <c r="T11" s="150">
        <f t="shared" ref="T11:T26" si="14">($B11*R$5)*(12/12)</f>
        <v>750</v>
      </c>
      <c r="U11" s="121">
        <f t="shared" ref="U11:U26" si="15">($B11*U$5)*(1/12)</f>
        <v>83.333333333333329</v>
      </c>
      <c r="V11" s="121">
        <f t="shared" ref="V11:V26" si="16">($B11*U$5)*(6/12)</f>
        <v>500</v>
      </c>
      <c r="W11" s="148">
        <f t="shared" ref="W11:W26" si="17">($B11*U$5)*(12/12)</f>
        <v>1000</v>
      </c>
      <c r="X11" s="119"/>
    </row>
    <row r="12" spans="1:25" x14ac:dyDescent="0.2">
      <c r="A12" s="154" t="s">
        <v>162</v>
      </c>
      <c r="B12" s="155">
        <v>7500</v>
      </c>
      <c r="D12" s="156">
        <f t="shared" si="0"/>
        <v>56.25</v>
      </c>
      <c r="E12" s="157">
        <f t="shared" si="1"/>
        <v>337.5</v>
      </c>
      <c r="F12" s="158">
        <f t="shared" si="5"/>
        <v>675</v>
      </c>
      <c r="G12" s="157">
        <f t="shared" si="2"/>
        <v>62.5</v>
      </c>
      <c r="H12" s="157">
        <f t="shared" si="3"/>
        <v>375</v>
      </c>
      <c r="I12" s="155">
        <f t="shared" si="4"/>
        <v>750</v>
      </c>
      <c r="K12" s="156">
        <f t="shared" si="6"/>
        <v>75</v>
      </c>
      <c r="L12" s="157">
        <f t="shared" si="7"/>
        <v>450</v>
      </c>
      <c r="M12" s="158">
        <f t="shared" si="8"/>
        <v>900</v>
      </c>
      <c r="N12" s="157">
        <f t="shared" si="9"/>
        <v>93.75</v>
      </c>
      <c r="O12" s="157">
        <f t="shared" si="10"/>
        <v>562.5</v>
      </c>
      <c r="P12" s="155">
        <f t="shared" si="11"/>
        <v>1125</v>
      </c>
      <c r="Q12" s="121"/>
      <c r="R12" s="156">
        <f t="shared" si="12"/>
        <v>93.75</v>
      </c>
      <c r="S12" s="157">
        <f t="shared" si="13"/>
        <v>562.5</v>
      </c>
      <c r="T12" s="158">
        <f t="shared" si="14"/>
        <v>1125</v>
      </c>
      <c r="U12" s="157">
        <f t="shared" si="15"/>
        <v>125</v>
      </c>
      <c r="V12" s="157">
        <f t="shared" si="16"/>
        <v>750</v>
      </c>
      <c r="W12" s="155">
        <f t="shared" si="17"/>
        <v>1500</v>
      </c>
      <c r="X12" s="119"/>
    </row>
    <row r="13" spans="1:25" x14ac:dyDescent="0.2">
      <c r="A13" s="127" t="s">
        <v>163</v>
      </c>
      <c r="B13" s="148">
        <v>10000</v>
      </c>
      <c r="D13" s="149">
        <f t="shared" si="0"/>
        <v>75</v>
      </c>
      <c r="E13" s="121">
        <f t="shared" si="1"/>
        <v>450</v>
      </c>
      <c r="F13" s="150">
        <f t="shared" si="5"/>
        <v>900</v>
      </c>
      <c r="G13" s="121">
        <f t="shared" si="2"/>
        <v>83.333333333333329</v>
      </c>
      <c r="H13" s="121">
        <f t="shared" si="3"/>
        <v>500</v>
      </c>
      <c r="I13" s="148">
        <f t="shared" si="4"/>
        <v>1000</v>
      </c>
      <c r="K13" s="149">
        <f t="shared" si="6"/>
        <v>100</v>
      </c>
      <c r="L13" s="121">
        <f t="shared" si="7"/>
        <v>600</v>
      </c>
      <c r="M13" s="150">
        <f t="shared" si="8"/>
        <v>1200</v>
      </c>
      <c r="N13" s="121">
        <f t="shared" si="9"/>
        <v>125</v>
      </c>
      <c r="O13" s="121">
        <f t="shared" si="10"/>
        <v>750</v>
      </c>
      <c r="P13" s="148">
        <f t="shared" si="11"/>
        <v>1500</v>
      </c>
      <c r="Q13" s="121"/>
      <c r="R13" s="149">
        <f t="shared" si="12"/>
        <v>125</v>
      </c>
      <c r="S13" s="121">
        <f t="shared" si="13"/>
        <v>750</v>
      </c>
      <c r="T13" s="150">
        <f t="shared" si="14"/>
        <v>1500</v>
      </c>
      <c r="U13" s="121">
        <f t="shared" si="15"/>
        <v>166.66666666666666</v>
      </c>
      <c r="V13" s="121">
        <f t="shared" si="16"/>
        <v>1000</v>
      </c>
      <c r="W13" s="148">
        <f t="shared" si="17"/>
        <v>2000</v>
      </c>
      <c r="X13" s="119"/>
    </row>
    <row r="14" spans="1:25" x14ac:dyDescent="0.2">
      <c r="A14" s="127" t="s">
        <v>164</v>
      </c>
      <c r="B14" s="148">
        <v>15000</v>
      </c>
      <c r="D14" s="149">
        <f t="shared" si="0"/>
        <v>112.5</v>
      </c>
      <c r="E14" s="121">
        <f t="shared" si="1"/>
        <v>675</v>
      </c>
      <c r="F14" s="150">
        <f t="shared" si="5"/>
        <v>1350</v>
      </c>
      <c r="G14" s="121">
        <f t="shared" si="2"/>
        <v>125</v>
      </c>
      <c r="H14" s="121">
        <f t="shared" si="3"/>
        <v>750</v>
      </c>
      <c r="I14" s="148">
        <f t="shared" si="4"/>
        <v>1500</v>
      </c>
      <c r="K14" s="149">
        <f t="shared" si="6"/>
        <v>150</v>
      </c>
      <c r="L14" s="121">
        <f t="shared" si="7"/>
        <v>900</v>
      </c>
      <c r="M14" s="150">
        <f t="shared" si="8"/>
        <v>1800</v>
      </c>
      <c r="N14" s="121">
        <f t="shared" si="9"/>
        <v>187.5</v>
      </c>
      <c r="O14" s="121">
        <f t="shared" si="10"/>
        <v>1125</v>
      </c>
      <c r="P14" s="148">
        <f t="shared" si="11"/>
        <v>2250</v>
      </c>
      <c r="Q14" s="121"/>
      <c r="R14" s="149">
        <f t="shared" si="12"/>
        <v>187.5</v>
      </c>
      <c r="S14" s="121">
        <f t="shared" si="13"/>
        <v>1125</v>
      </c>
      <c r="T14" s="150">
        <f t="shared" si="14"/>
        <v>2250</v>
      </c>
      <c r="U14" s="121">
        <f t="shared" si="15"/>
        <v>250</v>
      </c>
      <c r="V14" s="121">
        <f t="shared" si="16"/>
        <v>1500</v>
      </c>
      <c r="W14" s="148">
        <f t="shared" si="17"/>
        <v>3000</v>
      </c>
      <c r="X14" s="119"/>
    </row>
    <row r="15" spans="1:25" x14ac:dyDescent="0.2">
      <c r="A15" s="154" t="s">
        <v>165</v>
      </c>
      <c r="B15" s="155">
        <v>20000</v>
      </c>
      <c r="D15" s="156">
        <f t="shared" si="0"/>
        <v>150</v>
      </c>
      <c r="E15" s="157">
        <f t="shared" si="1"/>
        <v>900</v>
      </c>
      <c r="F15" s="158">
        <f t="shared" si="5"/>
        <v>1800</v>
      </c>
      <c r="G15" s="157">
        <f t="shared" si="2"/>
        <v>166.66666666666666</v>
      </c>
      <c r="H15" s="157">
        <f t="shared" si="3"/>
        <v>1000</v>
      </c>
      <c r="I15" s="155">
        <f t="shared" si="4"/>
        <v>2000</v>
      </c>
      <c r="K15" s="156">
        <f t="shared" si="6"/>
        <v>200</v>
      </c>
      <c r="L15" s="157">
        <f t="shared" si="7"/>
        <v>1200</v>
      </c>
      <c r="M15" s="158">
        <f t="shared" si="8"/>
        <v>2400</v>
      </c>
      <c r="N15" s="157">
        <f t="shared" si="9"/>
        <v>250</v>
      </c>
      <c r="O15" s="157">
        <f t="shared" si="10"/>
        <v>1500</v>
      </c>
      <c r="P15" s="155">
        <f t="shared" si="11"/>
        <v>3000</v>
      </c>
      <c r="Q15" s="121"/>
      <c r="R15" s="156">
        <f t="shared" si="12"/>
        <v>250</v>
      </c>
      <c r="S15" s="157">
        <f t="shared" si="13"/>
        <v>1500</v>
      </c>
      <c r="T15" s="158">
        <f t="shared" si="14"/>
        <v>3000</v>
      </c>
      <c r="U15" s="157">
        <f t="shared" si="15"/>
        <v>333.33333333333331</v>
      </c>
      <c r="V15" s="157">
        <f t="shared" si="16"/>
        <v>2000</v>
      </c>
      <c r="W15" s="155">
        <f t="shared" si="17"/>
        <v>4000</v>
      </c>
      <c r="X15" s="119"/>
    </row>
    <row r="16" spans="1:25" x14ac:dyDescent="0.2">
      <c r="A16" s="127" t="s">
        <v>166</v>
      </c>
      <c r="B16" s="148">
        <v>25000</v>
      </c>
      <c r="D16" s="149">
        <f t="shared" si="0"/>
        <v>187.5</v>
      </c>
      <c r="E16" s="121">
        <f t="shared" si="1"/>
        <v>1125</v>
      </c>
      <c r="F16" s="150">
        <f t="shared" si="5"/>
        <v>2250</v>
      </c>
      <c r="G16" s="121">
        <f t="shared" si="2"/>
        <v>208.33333333333331</v>
      </c>
      <c r="H16" s="121">
        <f t="shared" si="3"/>
        <v>1250</v>
      </c>
      <c r="I16" s="148">
        <f t="shared" si="4"/>
        <v>2500</v>
      </c>
      <c r="K16" s="149">
        <f t="shared" si="6"/>
        <v>250</v>
      </c>
      <c r="L16" s="121">
        <f t="shared" si="7"/>
        <v>1500</v>
      </c>
      <c r="M16" s="150">
        <f t="shared" si="8"/>
        <v>3000</v>
      </c>
      <c r="N16" s="121">
        <f t="shared" si="9"/>
        <v>312.5</v>
      </c>
      <c r="O16" s="121">
        <f t="shared" si="10"/>
        <v>1875</v>
      </c>
      <c r="P16" s="148">
        <f t="shared" si="11"/>
        <v>3750</v>
      </c>
      <c r="Q16" s="121"/>
      <c r="R16" s="149">
        <f t="shared" si="12"/>
        <v>312.5</v>
      </c>
      <c r="S16" s="121">
        <f t="shared" si="13"/>
        <v>1875</v>
      </c>
      <c r="T16" s="150">
        <f t="shared" si="14"/>
        <v>3750</v>
      </c>
      <c r="U16" s="121">
        <f t="shared" si="15"/>
        <v>416.66666666666663</v>
      </c>
      <c r="V16" s="121">
        <f t="shared" si="16"/>
        <v>2500</v>
      </c>
      <c r="W16" s="148">
        <f t="shared" si="17"/>
        <v>5000</v>
      </c>
      <c r="X16" s="119"/>
    </row>
    <row r="17" spans="1:25" x14ac:dyDescent="0.2">
      <c r="A17" s="127" t="s">
        <v>167</v>
      </c>
      <c r="B17" s="148">
        <v>30000</v>
      </c>
      <c r="D17" s="149">
        <f t="shared" si="0"/>
        <v>225</v>
      </c>
      <c r="E17" s="121">
        <f t="shared" si="1"/>
        <v>1350</v>
      </c>
      <c r="F17" s="150">
        <f t="shared" si="5"/>
        <v>2700</v>
      </c>
      <c r="G17" s="121">
        <f t="shared" si="2"/>
        <v>250</v>
      </c>
      <c r="H17" s="121">
        <f t="shared" si="3"/>
        <v>1500</v>
      </c>
      <c r="I17" s="148">
        <f t="shared" si="4"/>
        <v>3000</v>
      </c>
      <c r="K17" s="149">
        <f t="shared" si="6"/>
        <v>300</v>
      </c>
      <c r="L17" s="121">
        <f t="shared" si="7"/>
        <v>1800</v>
      </c>
      <c r="M17" s="150">
        <f t="shared" si="8"/>
        <v>3600</v>
      </c>
      <c r="N17" s="121">
        <f t="shared" si="9"/>
        <v>375</v>
      </c>
      <c r="O17" s="121">
        <f t="shared" si="10"/>
        <v>2250</v>
      </c>
      <c r="P17" s="148">
        <f t="shared" si="11"/>
        <v>4500</v>
      </c>
      <c r="Q17" s="121"/>
      <c r="R17" s="149">
        <f t="shared" si="12"/>
        <v>375</v>
      </c>
      <c r="S17" s="121">
        <f t="shared" si="13"/>
        <v>2250</v>
      </c>
      <c r="T17" s="150">
        <f t="shared" si="14"/>
        <v>4500</v>
      </c>
      <c r="U17" s="121">
        <f t="shared" si="15"/>
        <v>500</v>
      </c>
      <c r="V17" s="121">
        <f t="shared" si="16"/>
        <v>3000</v>
      </c>
      <c r="W17" s="148">
        <f t="shared" si="17"/>
        <v>6000</v>
      </c>
      <c r="X17" s="119"/>
    </row>
    <row r="18" spans="1:25" x14ac:dyDescent="0.2">
      <c r="A18" s="154" t="s">
        <v>168</v>
      </c>
      <c r="B18" s="155">
        <v>40000</v>
      </c>
      <c r="D18" s="156">
        <f t="shared" si="0"/>
        <v>300</v>
      </c>
      <c r="E18" s="157">
        <f t="shared" si="1"/>
        <v>1800</v>
      </c>
      <c r="F18" s="158">
        <f t="shared" si="5"/>
        <v>3600</v>
      </c>
      <c r="G18" s="157">
        <f t="shared" si="2"/>
        <v>333.33333333333331</v>
      </c>
      <c r="H18" s="157">
        <f t="shared" si="3"/>
        <v>2000</v>
      </c>
      <c r="I18" s="155">
        <f t="shared" si="4"/>
        <v>4000</v>
      </c>
      <c r="K18" s="156">
        <f t="shared" si="6"/>
        <v>400</v>
      </c>
      <c r="L18" s="157">
        <f t="shared" si="7"/>
        <v>2400</v>
      </c>
      <c r="M18" s="158">
        <f t="shared" si="8"/>
        <v>4800</v>
      </c>
      <c r="N18" s="157">
        <f t="shared" si="9"/>
        <v>500</v>
      </c>
      <c r="O18" s="157">
        <f t="shared" si="10"/>
        <v>3000</v>
      </c>
      <c r="P18" s="155">
        <f t="shared" si="11"/>
        <v>6000</v>
      </c>
      <c r="Q18" s="121"/>
      <c r="R18" s="156">
        <f t="shared" si="12"/>
        <v>500</v>
      </c>
      <c r="S18" s="157">
        <f t="shared" si="13"/>
        <v>3000</v>
      </c>
      <c r="T18" s="158">
        <f t="shared" si="14"/>
        <v>6000</v>
      </c>
      <c r="U18" s="157">
        <f t="shared" si="15"/>
        <v>666.66666666666663</v>
      </c>
      <c r="V18" s="157">
        <f t="shared" si="16"/>
        <v>4000</v>
      </c>
      <c r="W18" s="155">
        <f t="shared" si="17"/>
        <v>8000</v>
      </c>
      <c r="X18" s="119"/>
    </row>
    <row r="19" spans="1:25" x14ac:dyDescent="0.2">
      <c r="A19" s="127" t="s">
        <v>169</v>
      </c>
      <c r="B19" s="148">
        <v>50000</v>
      </c>
      <c r="D19" s="149">
        <f t="shared" si="0"/>
        <v>375</v>
      </c>
      <c r="E19" s="121">
        <f t="shared" si="1"/>
        <v>2250</v>
      </c>
      <c r="F19" s="150">
        <f t="shared" si="5"/>
        <v>4500</v>
      </c>
      <c r="G19" s="121">
        <f t="shared" si="2"/>
        <v>416.66666666666663</v>
      </c>
      <c r="H19" s="121">
        <f t="shared" si="3"/>
        <v>2500</v>
      </c>
      <c r="I19" s="148">
        <f t="shared" si="4"/>
        <v>5000</v>
      </c>
      <c r="K19" s="149">
        <f t="shared" si="6"/>
        <v>500</v>
      </c>
      <c r="L19" s="121">
        <f t="shared" si="7"/>
        <v>3000</v>
      </c>
      <c r="M19" s="150">
        <f t="shared" si="8"/>
        <v>6000</v>
      </c>
      <c r="N19" s="121">
        <f t="shared" si="9"/>
        <v>625</v>
      </c>
      <c r="O19" s="121">
        <f t="shared" si="10"/>
        <v>3750</v>
      </c>
      <c r="P19" s="148">
        <f t="shared" si="11"/>
        <v>7500</v>
      </c>
      <c r="Q19" s="121"/>
      <c r="R19" s="149">
        <f t="shared" si="12"/>
        <v>625</v>
      </c>
      <c r="S19" s="121">
        <f t="shared" si="13"/>
        <v>3750</v>
      </c>
      <c r="T19" s="150">
        <f t="shared" si="14"/>
        <v>7500</v>
      </c>
      <c r="U19" s="121">
        <f t="shared" si="15"/>
        <v>833.33333333333326</v>
      </c>
      <c r="V19" s="121">
        <f t="shared" si="16"/>
        <v>5000</v>
      </c>
      <c r="W19" s="148">
        <f t="shared" si="17"/>
        <v>10000</v>
      </c>
      <c r="X19" s="119"/>
    </row>
    <row r="20" spans="1:25" x14ac:dyDescent="0.2">
      <c r="A20" s="127" t="s">
        <v>170</v>
      </c>
      <c r="B20" s="148">
        <v>60000</v>
      </c>
      <c r="D20" s="149">
        <f t="shared" si="0"/>
        <v>450</v>
      </c>
      <c r="E20" s="121">
        <f t="shared" si="1"/>
        <v>2700</v>
      </c>
      <c r="F20" s="150">
        <f t="shared" si="5"/>
        <v>5400</v>
      </c>
      <c r="G20" s="121">
        <f t="shared" si="2"/>
        <v>500</v>
      </c>
      <c r="H20" s="121">
        <f t="shared" si="3"/>
        <v>3000</v>
      </c>
      <c r="I20" s="148">
        <f t="shared" si="4"/>
        <v>6000</v>
      </c>
      <c r="K20" s="149">
        <f t="shared" si="6"/>
        <v>600</v>
      </c>
      <c r="L20" s="121">
        <f t="shared" si="7"/>
        <v>3600</v>
      </c>
      <c r="M20" s="150">
        <f t="shared" si="8"/>
        <v>7200</v>
      </c>
      <c r="N20" s="121">
        <f t="shared" si="9"/>
        <v>750</v>
      </c>
      <c r="O20" s="121">
        <f t="shared" si="10"/>
        <v>4500</v>
      </c>
      <c r="P20" s="148">
        <f t="shared" si="11"/>
        <v>9000</v>
      </c>
      <c r="Q20" s="121"/>
      <c r="R20" s="149">
        <f t="shared" si="12"/>
        <v>750</v>
      </c>
      <c r="S20" s="121">
        <f t="shared" si="13"/>
        <v>4500</v>
      </c>
      <c r="T20" s="150">
        <f t="shared" si="14"/>
        <v>9000</v>
      </c>
      <c r="U20" s="121">
        <f t="shared" si="15"/>
        <v>1000</v>
      </c>
      <c r="V20" s="121">
        <f t="shared" si="16"/>
        <v>6000</v>
      </c>
      <c r="W20" s="148">
        <f t="shared" si="17"/>
        <v>12000</v>
      </c>
      <c r="X20" s="119"/>
    </row>
    <row r="21" spans="1:25" x14ac:dyDescent="0.2">
      <c r="A21" s="154" t="s">
        <v>171</v>
      </c>
      <c r="B21" s="155">
        <v>70000</v>
      </c>
      <c r="D21" s="156">
        <f t="shared" si="0"/>
        <v>525</v>
      </c>
      <c r="E21" s="157">
        <f t="shared" si="1"/>
        <v>3150</v>
      </c>
      <c r="F21" s="158">
        <f t="shared" si="5"/>
        <v>6300</v>
      </c>
      <c r="G21" s="157">
        <f t="shared" si="2"/>
        <v>583.33333333333326</v>
      </c>
      <c r="H21" s="157">
        <f t="shared" si="3"/>
        <v>3500</v>
      </c>
      <c r="I21" s="155">
        <f t="shared" si="4"/>
        <v>7000</v>
      </c>
      <c r="K21" s="156">
        <f t="shared" si="6"/>
        <v>700</v>
      </c>
      <c r="L21" s="157">
        <f t="shared" si="7"/>
        <v>4200</v>
      </c>
      <c r="M21" s="158">
        <f t="shared" si="8"/>
        <v>8400</v>
      </c>
      <c r="N21" s="157">
        <f t="shared" si="9"/>
        <v>875</v>
      </c>
      <c r="O21" s="157">
        <f t="shared" si="10"/>
        <v>5250</v>
      </c>
      <c r="P21" s="155">
        <f t="shared" si="11"/>
        <v>10500</v>
      </c>
      <c r="Q21" s="121"/>
      <c r="R21" s="156">
        <f t="shared" si="12"/>
        <v>875</v>
      </c>
      <c r="S21" s="157">
        <f t="shared" si="13"/>
        <v>5250</v>
      </c>
      <c r="T21" s="158">
        <f t="shared" si="14"/>
        <v>10500</v>
      </c>
      <c r="U21" s="157">
        <f t="shared" si="15"/>
        <v>1166.6666666666665</v>
      </c>
      <c r="V21" s="157">
        <f t="shared" si="16"/>
        <v>7000</v>
      </c>
      <c r="W21" s="155">
        <f t="shared" si="17"/>
        <v>14000</v>
      </c>
      <c r="X21" s="119"/>
    </row>
    <row r="22" spans="1:25" x14ac:dyDescent="0.2">
      <c r="A22" s="127" t="s">
        <v>172</v>
      </c>
      <c r="B22" s="148">
        <v>80000</v>
      </c>
      <c r="D22" s="149">
        <f t="shared" si="0"/>
        <v>600</v>
      </c>
      <c r="E22" s="121">
        <f t="shared" si="1"/>
        <v>3600</v>
      </c>
      <c r="F22" s="150">
        <f t="shared" si="5"/>
        <v>7200</v>
      </c>
      <c r="G22" s="121">
        <f t="shared" si="2"/>
        <v>666.66666666666663</v>
      </c>
      <c r="H22" s="121">
        <f t="shared" si="3"/>
        <v>4000</v>
      </c>
      <c r="I22" s="148">
        <f t="shared" si="4"/>
        <v>8000</v>
      </c>
      <c r="K22" s="149">
        <f t="shared" si="6"/>
        <v>800</v>
      </c>
      <c r="L22" s="121">
        <f t="shared" si="7"/>
        <v>4800</v>
      </c>
      <c r="M22" s="150">
        <f t="shared" si="8"/>
        <v>9600</v>
      </c>
      <c r="N22" s="121">
        <f t="shared" si="9"/>
        <v>1000</v>
      </c>
      <c r="O22" s="121">
        <f t="shared" si="10"/>
        <v>6000</v>
      </c>
      <c r="P22" s="148">
        <f t="shared" si="11"/>
        <v>12000</v>
      </c>
      <c r="Q22" s="121"/>
      <c r="R22" s="149">
        <f t="shared" si="12"/>
        <v>1000</v>
      </c>
      <c r="S22" s="121">
        <f t="shared" si="13"/>
        <v>6000</v>
      </c>
      <c r="T22" s="150">
        <f t="shared" si="14"/>
        <v>12000</v>
      </c>
      <c r="U22" s="121">
        <f t="shared" si="15"/>
        <v>1333.3333333333333</v>
      </c>
      <c r="V22" s="121">
        <f t="shared" si="16"/>
        <v>8000</v>
      </c>
      <c r="W22" s="148">
        <f t="shared" si="17"/>
        <v>16000</v>
      </c>
      <c r="X22" s="119"/>
    </row>
    <row r="23" spans="1:25" x14ac:dyDescent="0.2">
      <c r="A23" s="127" t="s">
        <v>173</v>
      </c>
      <c r="B23" s="148">
        <v>90000</v>
      </c>
      <c r="D23" s="149">
        <f t="shared" si="0"/>
        <v>675</v>
      </c>
      <c r="E23" s="121">
        <f t="shared" si="1"/>
        <v>4050</v>
      </c>
      <c r="F23" s="150">
        <f t="shared" si="5"/>
        <v>8100</v>
      </c>
      <c r="G23" s="121">
        <f t="shared" si="2"/>
        <v>750</v>
      </c>
      <c r="H23" s="121">
        <f t="shared" si="3"/>
        <v>4500</v>
      </c>
      <c r="I23" s="148">
        <f t="shared" si="4"/>
        <v>9000</v>
      </c>
      <c r="K23" s="149">
        <f t="shared" si="6"/>
        <v>900</v>
      </c>
      <c r="L23" s="121">
        <f t="shared" si="7"/>
        <v>5400</v>
      </c>
      <c r="M23" s="150">
        <f t="shared" si="8"/>
        <v>10800</v>
      </c>
      <c r="N23" s="121">
        <f t="shared" si="9"/>
        <v>1125</v>
      </c>
      <c r="O23" s="121">
        <f t="shared" si="10"/>
        <v>6750</v>
      </c>
      <c r="P23" s="148">
        <f t="shared" si="11"/>
        <v>13500</v>
      </c>
      <c r="Q23" s="121"/>
      <c r="R23" s="149">
        <f t="shared" si="12"/>
        <v>1125</v>
      </c>
      <c r="S23" s="121">
        <f t="shared" si="13"/>
        <v>6750</v>
      </c>
      <c r="T23" s="150">
        <f t="shared" si="14"/>
        <v>13500</v>
      </c>
      <c r="U23" s="121">
        <f t="shared" si="15"/>
        <v>1500</v>
      </c>
      <c r="V23" s="121">
        <f t="shared" si="16"/>
        <v>9000</v>
      </c>
      <c r="W23" s="148">
        <f t="shared" si="17"/>
        <v>18000</v>
      </c>
      <c r="X23" s="119"/>
    </row>
    <row r="24" spans="1:25" x14ac:dyDescent="0.2">
      <c r="A24" s="154" t="s">
        <v>174</v>
      </c>
      <c r="B24" s="155">
        <v>100000</v>
      </c>
      <c r="D24" s="156">
        <f t="shared" si="0"/>
        <v>750</v>
      </c>
      <c r="E24" s="157">
        <f t="shared" si="1"/>
        <v>4500</v>
      </c>
      <c r="F24" s="158">
        <f t="shared" si="5"/>
        <v>9000</v>
      </c>
      <c r="G24" s="157">
        <f t="shared" si="2"/>
        <v>833.33333333333326</v>
      </c>
      <c r="H24" s="157">
        <f t="shared" si="3"/>
        <v>5000</v>
      </c>
      <c r="I24" s="155">
        <f t="shared" si="4"/>
        <v>10000</v>
      </c>
      <c r="K24" s="156">
        <f t="shared" si="6"/>
        <v>1000</v>
      </c>
      <c r="L24" s="157">
        <f t="shared" si="7"/>
        <v>6000</v>
      </c>
      <c r="M24" s="158">
        <f t="shared" si="8"/>
        <v>12000</v>
      </c>
      <c r="N24" s="157">
        <f t="shared" si="9"/>
        <v>1250</v>
      </c>
      <c r="O24" s="157">
        <f t="shared" si="10"/>
        <v>7500</v>
      </c>
      <c r="P24" s="155">
        <f t="shared" si="11"/>
        <v>15000</v>
      </c>
      <c r="Q24" s="121"/>
      <c r="R24" s="156">
        <f t="shared" si="12"/>
        <v>1250</v>
      </c>
      <c r="S24" s="157">
        <f t="shared" si="13"/>
        <v>7500</v>
      </c>
      <c r="T24" s="158">
        <f t="shared" si="14"/>
        <v>15000</v>
      </c>
      <c r="U24" s="157">
        <f t="shared" si="15"/>
        <v>1666.6666666666665</v>
      </c>
      <c r="V24" s="157">
        <f t="shared" si="16"/>
        <v>10000</v>
      </c>
      <c r="W24" s="155">
        <f t="shared" si="17"/>
        <v>20000</v>
      </c>
      <c r="X24" s="119"/>
    </row>
    <row r="25" spans="1:25" x14ac:dyDescent="0.2">
      <c r="A25" s="127" t="s">
        <v>175</v>
      </c>
      <c r="B25" s="148">
        <v>250000</v>
      </c>
      <c r="D25" s="149">
        <f t="shared" si="0"/>
        <v>1875</v>
      </c>
      <c r="E25" s="121">
        <f t="shared" si="1"/>
        <v>11250</v>
      </c>
      <c r="F25" s="150">
        <f t="shared" si="5"/>
        <v>22500</v>
      </c>
      <c r="G25" s="121">
        <f t="shared" si="2"/>
        <v>2083.333333333333</v>
      </c>
      <c r="H25" s="121">
        <f t="shared" si="3"/>
        <v>12500</v>
      </c>
      <c r="I25" s="148">
        <f t="shared" si="4"/>
        <v>25000</v>
      </c>
      <c r="K25" s="149">
        <f t="shared" si="6"/>
        <v>2500</v>
      </c>
      <c r="L25" s="121">
        <f t="shared" si="7"/>
        <v>15000</v>
      </c>
      <c r="M25" s="150">
        <f t="shared" si="8"/>
        <v>30000</v>
      </c>
      <c r="N25" s="121">
        <f t="shared" si="9"/>
        <v>3125</v>
      </c>
      <c r="O25" s="121">
        <f t="shared" si="10"/>
        <v>18750</v>
      </c>
      <c r="P25" s="148">
        <f t="shared" si="11"/>
        <v>37500</v>
      </c>
      <c r="Q25" s="121"/>
      <c r="R25" s="149">
        <f t="shared" si="12"/>
        <v>3125</v>
      </c>
      <c r="S25" s="121">
        <f t="shared" si="13"/>
        <v>18750</v>
      </c>
      <c r="T25" s="150">
        <f t="shared" si="14"/>
        <v>37500</v>
      </c>
      <c r="U25" s="121">
        <f t="shared" si="15"/>
        <v>4166.6666666666661</v>
      </c>
      <c r="V25" s="121">
        <f t="shared" si="16"/>
        <v>25000</v>
      </c>
      <c r="W25" s="148">
        <f t="shared" si="17"/>
        <v>50000</v>
      </c>
      <c r="X25" s="119"/>
    </row>
    <row r="26" spans="1:25" ht="13.5" thickBot="1" x14ac:dyDescent="0.25">
      <c r="A26" s="159" t="s">
        <v>176</v>
      </c>
      <c r="B26" s="160">
        <v>500000</v>
      </c>
      <c r="D26" s="161">
        <f t="shared" si="0"/>
        <v>3750</v>
      </c>
      <c r="E26" s="162">
        <f t="shared" si="1"/>
        <v>22500</v>
      </c>
      <c r="F26" s="163">
        <f t="shared" si="5"/>
        <v>45000</v>
      </c>
      <c r="G26" s="162">
        <f t="shared" si="2"/>
        <v>4166.6666666666661</v>
      </c>
      <c r="H26" s="162">
        <f t="shared" si="3"/>
        <v>25000</v>
      </c>
      <c r="I26" s="160">
        <f t="shared" si="4"/>
        <v>50000</v>
      </c>
      <c r="K26" s="161">
        <f t="shared" si="6"/>
        <v>5000</v>
      </c>
      <c r="L26" s="162">
        <f t="shared" si="7"/>
        <v>30000</v>
      </c>
      <c r="M26" s="163">
        <f t="shared" si="8"/>
        <v>60000</v>
      </c>
      <c r="N26" s="162">
        <f t="shared" si="9"/>
        <v>6250</v>
      </c>
      <c r="O26" s="162">
        <f t="shared" si="10"/>
        <v>37500</v>
      </c>
      <c r="P26" s="160">
        <f t="shared" si="11"/>
        <v>75000</v>
      </c>
      <c r="Q26" s="121"/>
      <c r="R26" s="161">
        <f t="shared" si="12"/>
        <v>6250</v>
      </c>
      <c r="S26" s="162">
        <f t="shared" si="13"/>
        <v>37500</v>
      </c>
      <c r="T26" s="163">
        <f t="shared" si="14"/>
        <v>75000</v>
      </c>
      <c r="U26" s="162">
        <f t="shared" si="15"/>
        <v>8333.3333333333321</v>
      </c>
      <c r="V26" s="162">
        <f t="shared" si="16"/>
        <v>50000</v>
      </c>
      <c r="W26" s="160">
        <f t="shared" si="17"/>
        <v>100000</v>
      </c>
      <c r="X26" s="119"/>
    </row>
    <row r="27" spans="1:25" x14ac:dyDescent="0.2">
      <c r="D27" s="121"/>
      <c r="E27" s="121"/>
      <c r="F27" s="121"/>
      <c r="G27" s="121"/>
      <c r="H27" s="121"/>
      <c r="I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19"/>
    </row>
    <row r="28" spans="1:25" x14ac:dyDescent="0.2">
      <c r="X28" s="119"/>
    </row>
    <row r="29" spans="1:25" s="119" customFormat="1" ht="21" thickBot="1" x14ac:dyDescent="0.35">
      <c r="A29" s="120" t="s">
        <v>86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</row>
    <row r="30" spans="1:25" s="126" customFormat="1" ht="20.25" x14ac:dyDescent="0.3">
      <c r="A30" s="122" t="s">
        <v>142</v>
      </c>
      <c r="B30" s="164" t="s">
        <v>177</v>
      </c>
      <c r="C30" s="124"/>
      <c r="D30" s="215" t="s">
        <v>128</v>
      </c>
      <c r="E30" s="216"/>
      <c r="F30" s="216"/>
      <c r="G30" s="216"/>
      <c r="H30" s="216"/>
      <c r="I30" s="217"/>
      <c r="J30" s="120"/>
      <c r="K30" s="215" t="s">
        <v>129</v>
      </c>
      <c r="L30" s="216"/>
      <c r="M30" s="216"/>
      <c r="N30" s="216"/>
      <c r="O30" s="216"/>
      <c r="P30" s="217"/>
      <c r="Q30" s="125"/>
      <c r="R30" s="215" t="s">
        <v>130</v>
      </c>
      <c r="S30" s="216"/>
      <c r="T30" s="216"/>
      <c r="U30" s="216"/>
      <c r="V30" s="216"/>
      <c r="W30" s="217"/>
      <c r="X30" s="120"/>
      <c r="Y30" s="120"/>
    </row>
    <row r="31" spans="1:25" ht="21" thickBot="1" x14ac:dyDescent="0.35">
      <c r="A31" s="127" t="s">
        <v>178</v>
      </c>
      <c r="B31" s="165">
        <v>0.5</v>
      </c>
      <c r="D31" s="166">
        <v>0</v>
      </c>
      <c r="E31" s="167"/>
      <c r="F31" s="168"/>
      <c r="G31" s="169">
        <v>0.1</v>
      </c>
      <c r="H31" s="167"/>
      <c r="I31" s="170"/>
      <c r="K31" s="166">
        <v>0</v>
      </c>
      <c r="L31" s="167"/>
      <c r="M31" s="168"/>
      <c r="N31" s="169">
        <v>0.2</v>
      </c>
      <c r="O31" s="167"/>
      <c r="P31" s="170"/>
      <c r="Q31" s="22"/>
      <c r="R31" s="166">
        <v>0</v>
      </c>
      <c r="S31" s="167"/>
      <c r="T31" s="168"/>
      <c r="U31" s="169">
        <v>0.7</v>
      </c>
      <c r="V31" s="167"/>
      <c r="W31" s="170"/>
    </row>
    <row r="32" spans="1:25" x14ac:dyDescent="0.2">
      <c r="A32" s="171" t="s">
        <v>132</v>
      </c>
      <c r="B32" s="172">
        <v>0.5</v>
      </c>
    </row>
    <row r="33" spans="1:3" ht="13.5" thickBot="1" x14ac:dyDescent="0.25">
      <c r="A33" s="159" t="s">
        <v>179</v>
      </c>
      <c r="B33" s="173">
        <v>1</v>
      </c>
    </row>
    <row r="34" spans="1:3" x14ac:dyDescent="0.2">
      <c r="B34" s="174"/>
    </row>
    <row r="36" spans="1:3" s="119" customFormat="1" x14ac:dyDescent="0.2">
      <c r="A36" s="175" t="s">
        <v>69</v>
      </c>
      <c r="B36" s="121"/>
      <c r="C36" s="121"/>
    </row>
    <row r="37" spans="1:3" x14ac:dyDescent="0.2">
      <c r="A37" s="175" t="s">
        <v>243</v>
      </c>
    </row>
    <row r="38" spans="1:3" x14ac:dyDescent="0.2">
      <c r="A38" s="194" t="s">
        <v>244</v>
      </c>
    </row>
  </sheetData>
  <sheetProtection algorithmName="SHA-512" hashValue="Tk9vlFzbj6/C8EzgrlVYO7IsW0wNg1syuMo6dHPeFTbS8Aa+tpjXCjKgEc1KGVWtc87AWtSdeWuNCXzBuDHhFQ==" saltValue="jmimndwmOuD1FrH2qi2+7g==" spinCount="100000" sheet="1" objects="1" scenarios="1"/>
  <mergeCells count="20">
    <mergeCell ref="A1:W1"/>
    <mergeCell ref="A2:W2"/>
    <mergeCell ref="D4:I4"/>
    <mergeCell ref="K4:P4"/>
    <mergeCell ref="R4:W4"/>
    <mergeCell ref="D30:I30"/>
    <mergeCell ref="K30:P30"/>
    <mergeCell ref="R30:W30"/>
    <mergeCell ref="U6:W6"/>
    <mergeCell ref="D8:F8"/>
    <mergeCell ref="G8:I8"/>
    <mergeCell ref="K8:M8"/>
    <mergeCell ref="N8:P8"/>
    <mergeCell ref="R8:T8"/>
    <mergeCell ref="U8:W8"/>
    <mergeCell ref="D6:F6"/>
    <mergeCell ref="G6:I6"/>
    <mergeCell ref="K6:M6"/>
    <mergeCell ref="N6:P6"/>
    <mergeCell ref="R6:T6"/>
  </mergeCells>
  <pageMargins left="0.25" right="0.25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showRowColHeaders="0" workbookViewId="0"/>
  </sheetViews>
  <sheetFormatPr defaultRowHeight="12.75" x14ac:dyDescent="0.2"/>
  <sheetData>
    <row r="1" spans="1:2" ht="25.5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ht="25.5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TM16410109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Calculator</vt:lpstr>
      <vt:lpstr>Waterfall</vt:lpstr>
      <vt:lpstr>Yields Table</vt:lpstr>
      <vt:lpstr>Waterfall!Print_Area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Haystack Houses</dc:creator>
  <cp:lastModifiedBy>Haystack Houses</cp:lastModifiedBy>
  <cp:lastPrinted>2021-11-10T01:37:16Z</cp:lastPrinted>
  <dcterms:created xsi:type="dcterms:W3CDTF">2018-04-18T11:47:37Z</dcterms:created>
  <dcterms:modified xsi:type="dcterms:W3CDTF">2021-11-22T20:31:07Z</dcterms:modified>
</cp:coreProperties>
</file>